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34\"/>
    </mc:Choice>
  </mc:AlternateContent>
  <xr:revisionPtr revIDLastSave="0" documentId="13_ncr:1_{D2107A26-223F-4BED-BE91-C052D50C3E04}" xr6:coauthVersionLast="47" xr6:coauthVersionMax="47" xr10:uidLastSave="{00000000-0000-0000-0000-000000000000}"/>
  <bookViews>
    <workbookView xWindow="-108" yWindow="-108" windowWidth="23256" windowHeight="12720" xr2:uid="{2F6C38B9-4AA7-415A-A963-97110276ABA8}"/>
  </bookViews>
  <sheets>
    <sheet name="Komposit" sheetId="1" r:id="rId1"/>
    <sheet name="Metal-Dec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2" l="1"/>
  <c r="K17" i="2"/>
  <c r="B9" i="2"/>
  <c r="B10" i="2" s="1"/>
  <c r="B13" i="2" s="1"/>
  <c r="K20" i="2"/>
  <c r="B16" i="1"/>
  <c r="B17" i="1" s="1"/>
  <c r="B6" i="1"/>
  <c r="B9" i="1" s="1"/>
  <c r="B8" i="2"/>
  <c r="B8" i="1" l="1"/>
  <c r="B10" i="1" s="1"/>
  <c r="B13" i="1" s="1"/>
  <c r="B19" i="1" s="1"/>
  <c r="B16" i="2"/>
  <c r="B15" i="2"/>
  <c r="B17" i="2" l="1"/>
  <c r="B22" i="2" l="1"/>
  <c r="M20" i="2"/>
  <c r="B23" i="2" l="1"/>
  <c r="B21" i="2"/>
</calcChain>
</file>

<file path=xl/sharedStrings.xml><?xml version="1.0" encoding="utf-8"?>
<sst xmlns="http://schemas.openxmlformats.org/spreadsheetml/2006/main" count="90" uniqueCount="51">
  <si>
    <t>a</t>
  </si>
  <si>
    <t>b</t>
  </si>
  <si>
    <t>s</t>
  </si>
  <si>
    <t>tc</t>
  </si>
  <si>
    <t>At</t>
  </si>
  <si>
    <t>An</t>
  </si>
  <si>
    <t>mm2</t>
  </si>
  <si>
    <t>mm</t>
  </si>
  <si>
    <t>teq</t>
  </si>
  <si>
    <t>مساحت خالص</t>
  </si>
  <si>
    <t>ضخامت معادل دال توپر</t>
  </si>
  <si>
    <t>DL+Part</t>
  </si>
  <si>
    <t>DL(Conc)</t>
  </si>
  <si>
    <t>Live</t>
  </si>
  <si>
    <t>kN/m2</t>
  </si>
  <si>
    <t>بارمرده کفسازی و تیغه</t>
  </si>
  <si>
    <t>بارمرده بتن سقف</t>
  </si>
  <si>
    <t>بارزنده کاربری</t>
  </si>
  <si>
    <t>Mu</t>
  </si>
  <si>
    <t>1.2D+1.6L</t>
  </si>
  <si>
    <t>1.4D</t>
  </si>
  <si>
    <t>qu</t>
  </si>
  <si>
    <t>S0</t>
  </si>
  <si>
    <t>m</t>
  </si>
  <si>
    <t>فاصله تیرهای فرعی</t>
  </si>
  <si>
    <t>kN.m</t>
  </si>
  <si>
    <t>As</t>
  </si>
  <si>
    <t>Phi</t>
  </si>
  <si>
    <t>لنگرحداکثر وسط دهانه</t>
  </si>
  <si>
    <t>قطر میلگرد (رند به بالا)</t>
  </si>
  <si>
    <t>phi*Mn</t>
  </si>
  <si>
    <t>مقاومت خمشی بتن غیرمسلح</t>
  </si>
  <si>
    <t>S</t>
  </si>
  <si>
    <t>عرض 1 متر مقطع دال</t>
  </si>
  <si>
    <t>mm3</t>
  </si>
  <si>
    <t>اساس مقطع الاستیک</t>
  </si>
  <si>
    <t>fc</t>
  </si>
  <si>
    <t>Mpa</t>
  </si>
  <si>
    <t>مقاومت فشاری مقطع</t>
  </si>
  <si>
    <t>ضخامت دال بتنی</t>
  </si>
  <si>
    <t>جوابگو هست؟</t>
  </si>
  <si>
    <t>عرض a</t>
  </si>
  <si>
    <t>Fy</t>
  </si>
  <si>
    <t>Phi*Mn</t>
  </si>
  <si>
    <t>در صورت صرفنظر کردن از مقاومت کششی ورق عرشه</t>
  </si>
  <si>
    <t>ضخامتTH</t>
  </si>
  <si>
    <t>hr</t>
  </si>
  <si>
    <t>مقاومت خمشی ناشی از کشش ورق عرشه</t>
  </si>
  <si>
    <t>Asکل</t>
  </si>
  <si>
    <t>میلگرد خمشی کل</t>
  </si>
  <si>
    <t>هر عدد میلگرد خمشی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</si>
</sst>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106017</xdr:colOff>
      <xdr:row>0</xdr:row>
      <xdr:rowOff>158032</xdr:rowOff>
    </xdr:from>
    <xdr:to>
      <xdr:col>10</xdr:col>
      <xdr:colOff>339800</xdr:colOff>
      <xdr:row>13</xdr:row>
      <xdr:rowOff>145773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086798-1950-44D2-BACB-CFD6AB687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71391" y="158032"/>
          <a:ext cx="3281783" cy="2399637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  <xdr:twoCellAnchor editAs="oneCell">
    <xdr:from>
      <xdr:col>5</xdr:col>
      <xdr:colOff>106287</xdr:colOff>
      <xdr:row>14</xdr:row>
      <xdr:rowOff>79513</xdr:rowOff>
    </xdr:from>
    <xdr:to>
      <xdr:col>9</xdr:col>
      <xdr:colOff>428253</xdr:colOff>
      <xdr:row>23</xdr:row>
      <xdr:rowOff>49229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F5B3897-CEA5-4889-B659-5E1C6AACB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71661" y="2676939"/>
          <a:ext cx="2760366" cy="1639490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  <xdr:twoCellAnchor editAs="oneCell">
    <xdr:from>
      <xdr:col>9</xdr:col>
      <xdr:colOff>504048</xdr:colOff>
      <xdr:row>16</xdr:row>
      <xdr:rowOff>66260</xdr:rowOff>
    </xdr:from>
    <xdr:to>
      <xdr:col>13</xdr:col>
      <xdr:colOff>224233</xdr:colOff>
      <xdr:row>23</xdr:row>
      <xdr:rowOff>25716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279ED8D-9E7C-4E4A-8E2B-36B8B49775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07822" y="3034747"/>
          <a:ext cx="2158585" cy="1258169"/>
        </a:xfrm>
        <a:prstGeom prst="rect">
          <a:avLst/>
        </a:prstGeom>
        <a:ln>
          <a:solidFill>
            <a:srgbClr val="0070C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445477</xdr:colOff>
      <xdr:row>14</xdr:row>
      <xdr:rowOff>76198</xdr:rowOff>
    </xdr:from>
    <xdr:to>
      <xdr:col>8</xdr:col>
      <xdr:colOff>409260</xdr:colOff>
      <xdr:row>19</xdr:row>
      <xdr:rowOff>52752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D23A630-FCEF-4266-897F-F99F9584C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6569" y="2631829"/>
          <a:ext cx="2402183" cy="896815"/>
        </a:xfrm>
        <a:prstGeom prst="rect">
          <a:avLst/>
        </a:prstGeom>
      </xdr:spPr>
    </xdr:pic>
    <xdr:clientData/>
  </xdr:twoCellAnchor>
  <xdr:twoCellAnchor editAs="oneCell">
    <xdr:from>
      <xdr:col>4</xdr:col>
      <xdr:colOff>432730</xdr:colOff>
      <xdr:row>1</xdr:row>
      <xdr:rowOff>90418</xdr:rowOff>
    </xdr:from>
    <xdr:to>
      <xdr:col>10</xdr:col>
      <xdr:colOff>31531</xdr:colOff>
      <xdr:row>9</xdr:row>
      <xdr:rowOff>40699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7569C5B-477E-46D2-BAAF-8851A6AA7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01599" y="274349"/>
          <a:ext cx="3293187" cy="1421729"/>
        </a:xfrm>
        <a:prstGeom prst="rect">
          <a:avLst/>
        </a:prstGeom>
      </xdr:spPr>
    </xdr:pic>
    <xdr:clientData/>
  </xdr:twoCellAnchor>
  <xdr:twoCellAnchor editAs="oneCell">
    <xdr:from>
      <xdr:col>4</xdr:col>
      <xdr:colOff>441435</xdr:colOff>
      <xdr:row>8</xdr:row>
      <xdr:rowOff>5255</xdr:rowOff>
    </xdr:from>
    <xdr:to>
      <xdr:col>7</xdr:col>
      <xdr:colOff>213641</xdr:colOff>
      <xdr:row>13</xdr:row>
      <xdr:rowOff>140802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C7FF60B-CE66-4F48-BDA3-3AF9D011B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0304" y="1476703"/>
          <a:ext cx="1601006" cy="10552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17C6F-97D2-4564-A8D4-BFB820CE996C}">
  <dimension ref="A2:D19"/>
  <sheetViews>
    <sheetView tabSelected="1" zoomScale="115" zoomScaleNormal="115" workbookViewId="0">
      <selection activeCell="B13" sqref="B13"/>
    </sheetView>
  </sheetViews>
  <sheetFormatPr defaultRowHeight="14.4" x14ac:dyDescent="0.3"/>
  <cols>
    <col min="1" max="1" width="13.6640625" customWidth="1"/>
    <col min="2" max="2" width="13" customWidth="1"/>
    <col min="4" max="4" width="22.109375" customWidth="1"/>
  </cols>
  <sheetData>
    <row r="2" spans="1:4" x14ac:dyDescent="0.3">
      <c r="A2" s="7" t="s">
        <v>3</v>
      </c>
      <c r="B2" s="7">
        <v>75</v>
      </c>
      <c r="C2" s="3" t="s">
        <v>7</v>
      </c>
      <c r="D2" s="3" t="s">
        <v>39</v>
      </c>
    </row>
    <row r="3" spans="1:4" x14ac:dyDescent="0.3">
      <c r="A3" s="7" t="s">
        <v>36</v>
      </c>
      <c r="B3" s="7">
        <v>25</v>
      </c>
      <c r="C3" s="3" t="s">
        <v>37</v>
      </c>
      <c r="D3" s="3" t="s">
        <v>38</v>
      </c>
    </row>
    <row r="5" spans="1:4" x14ac:dyDescent="0.3">
      <c r="A5" s="8" t="s">
        <v>11</v>
      </c>
      <c r="B5" s="8">
        <v>3</v>
      </c>
      <c r="C5" s="4" t="s">
        <v>14</v>
      </c>
      <c r="D5" s="4" t="s">
        <v>15</v>
      </c>
    </row>
    <row r="6" spans="1:4" x14ac:dyDescent="0.3">
      <c r="A6" s="5" t="s">
        <v>12</v>
      </c>
      <c r="B6" s="5">
        <f>B2*2500*0.00001</f>
        <v>1.8750000000000002</v>
      </c>
      <c r="C6" s="4" t="s">
        <v>14</v>
      </c>
      <c r="D6" s="4" t="s">
        <v>16</v>
      </c>
    </row>
    <row r="7" spans="1:4" x14ac:dyDescent="0.3">
      <c r="A7" s="8" t="s">
        <v>13</v>
      </c>
      <c r="B7" s="8">
        <v>2</v>
      </c>
      <c r="C7" s="4" t="s">
        <v>14</v>
      </c>
      <c r="D7" s="4" t="s">
        <v>17</v>
      </c>
    </row>
    <row r="8" spans="1:4" x14ac:dyDescent="0.3">
      <c r="A8" s="2" t="s">
        <v>20</v>
      </c>
      <c r="B8" s="2">
        <f>1.4*(B5+B6)</f>
        <v>6.8249999999999993</v>
      </c>
      <c r="C8" s="1"/>
      <c r="D8" s="1"/>
    </row>
    <row r="9" spans="1:4" x14ac:dyDescent="0.3">
      <c r="A9" s="2" t="s">
        <v>19</v>
      </c>
      <c r="B9" s="2">
        <f>1.2*(B5+B6)+1.6*(B7)</f>
        <v>9.0500000000000007</v>
      </c>
      <c r="C9" s="1"/>
      <c r="D9" s="1"/>
    </row>
    <row r="10" spans="1:4" x14ac:dyDescent="0.3">
      <c r="A10" s="5" t="s">
        <v>21</v>
      </c>
      <c r="B10" s="5">
        <f>MAX(B8,B9)</f>
        <v>9.0500000000000007</v>
      </c>
      <c r="C10" s="5" t="s">
        <v>14</v>
      </c>
      <c r="D10" s="1"/>
    </row>
    <row r="11" spans="1:4" x14ac:dyDescent="0.3">
      <c r="A11" s="1"/>
      <c r="B11" s="1"/>
      <c r="C11" s="1"/>
      <c r="D11" s="1"/>
    </row>
    <row r="12" spans="1:4" x14ac:dyDescent="0.3">
      <c r="A12" s="8" t="s">
        <v>22</v>
      </c>
      <c r="B12" s="8">
        <v>1</v>
      </c>
      <c r="C12" s="6" t="s">
        <v>23</v>
      </c>
      <c r="D12" s="6" t="s">
        <v>24</v>
      </c>
    </row>
    <row r="13" spans="1:4" x14ac:dyDescent="0.3">
      <c r="A13" s="5" t="s">
        <v>18</v>
      </c>
      <c r="B13" s="5">
        <f>B10*B12^2/8</f>
        <v>1.1312500000000001</v>
      </c>
      <c r="C13" s="5" t="s">
        <v>25</v>
      </c>
      <c r="D13" s="6" t="s">
        <v>28</v>
      </c>
    </row>
    <row r="14" spans="1:4" x14ac:dyDescent="0.3">
      <c r="A14" s="10"/>
      <c r="B14" s="10"/>
      <c r="C14" s="10"/>
      <c r="D14" s="10"/>
    </row>
    <row r="15" spans="1:4" x14ac:dyDescent="0.3">
      <c r="A15" s="5" t="s">
        <v>1</v>
      </c>
      <c r="B15" s="5">
        <v>1000</v>
      </c>
      <c r="C15" s="5" t="s">
        <v>7</v>
      </c>
      <c r="D15" s="6" t="s">
        <v>33</v>
      </c>
    </row>
    <row r="16" spans="1:4" x14ac:dyDescent="0.3">
      <c r="A16" s="5" t="s">
        <v>32</v>
      </c>
      <c r="B16" s="5">
        <f>B15*B2^2/6</f>
        <v>937500</v>
      </c>
      <c r="C16" s="5" t="s">
        <v>34</v>
      </c>
      <c r="D16" s="6" t="s">
        <v>35</v>
      </c>
    </row>
    <row r="17" spans="1:4" x14ac:dyDescent="0.3">
      <c r="A17" s="5" t="s">
        <v>30</v>
      </c>
      <c r="B17" s="5">
        <f>0.6*0.42*SQRT(25)*B16/10^6</f>
        <v>1.1812499999999999</v>
      </c>
      <c r="C17" s="5" t="s">
        <v>25</v>
      </c>
      <c r="D17" s="6" t="s">
        <v>31</v>
      </c>
    </row>
    <row r="18" spans="1:4" x14ac:dyDescent="0.3">
      <c r="A18" s="9"/>
      <c r="B18" s="9"/>
      <c r="C18" s="9"/>
      <c r="D18" s="9"/>
    </row>
    <row r="19" spans="1:4" x14ac:dyDescent="0.3">
      <c r="A19" s="11" t="s">
        <v>40</v>
      </c>
      <c r="B19" s="12" t="str">
        <f>IF(B17&gt;B13,"Ok","Not Ok")</f>
        <v>Ok</v>
      </c>
    </row>
  </sheetData>
  <conditionalFormatting sqref="B19">
    <cfRule type="containsText" dxfId="7" priority="1" operator="containsText" text="NotOk">
      <formula>NOT(ISERROR(SEARCH("NotOk",B19)))</formula>
    </cfRule>
    <cfRule type="containsText" dxfId="6" priority="2" operator="containsText" text="Not Ok">
      <formula>NOT(ISERROR(SEARCH("Not Ok",B19)))</formula>
    </cfRule>
    <cfRule type="containsText" dxfId="5" priority="3" operator="containsText" text="Ok">
      <formula>NOT(ISERROR(SEARCH("Ok",B19)))</formula>
    </cfRule>
    <cfRule type="cellIs" dxfId="4" priority="4" operator="equal">
      <formula>$B$19</formula>
    </cfRule>
    <cfRule type="cellIs" dxfId="3" priority="5" operator="equal">
      <formula>$B$19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E6D3B-0314-4641-9988-A88A4FDA2DB0}">
  <dimension ref="A2:M24"/>
  <sheetViews>
    <sheetView zoomScale="130" zoomScaleNormal="130" workbookViewId="0">
      <selection activeCell="K18" sqref="K18"/>
    </sheetView>
  </sheetViews>
  <sheetFormatPr defaultRowHeight="14.4" x14ac:dyDescent="0.3"/>
  <cols>
    <col min="1" max="1" width="10.109375" customWidth="1"/>
    <col min="4" max="4" width="18.33203125" customWidth="1"/>
    <col min="10" max="10" width="9.44140625" customWidth="1"/>
  </cols>
  <sheetData>
    <row r="2" spans="1:13" x14ac:dyDescent="0.3">
      <c r="A2" s="8" t="s">
        <v>0</v>
      </c>
      <c r="B2" s="8">
        <v>125</v>
      </c>
      <c r="C2" s="4" t="s">
        <v>7</v>
      </c>
      <c r="D2" s="1"/>
    </row>
    <row r="3" spans="1:13" x14ac:dyDescent="0.3">
      <c r="A3" s="8" t="s">
        <v>1</v>
      </c>
      <c r="B3" s="8">
        <v>175</v>
      </c>
      <c r="C3" s="4" t="s">
        <v>7</v>
      </c>
      <c r="D3" s="1"/>
    </row>
    <row r="4" spans="1:13" x14ac:dyDescent="0.3">
      <c r="A4" s="8" t="s">
        <v>2</v>
      </c>
      <c r="B4" s="8">
        <v>300</v>
      </c>
      <c r="C4" s="4" t="s">
        <v>7</v>
      </c>
      <c r="D4" s="1"/>
    </row>
    <row r="5" spans="1:13" x14ac:dyDescent="0.3">
      <c r="A5" s="8" t="s">
        <v>46</v>
      </c>
      <c r="B5" s="8">
        <v>75</v>
      </c>
      <c r="C5" s="4" t="s">
        <v>7</v>
      </c>
      <c r="D5" s="1"/>
    </row>
    <row r="6" spans="1:13" x14ac:dyDescent="0.3">
      <c r="A6" s="8" t="s">
        <v>3</v>
      </c>
      <c r="B6" s="8">
        <v>75</v>
      </c>
      <c r="C6" s="4" t="s">
        <v>7</v>
      </c>
      <c r="D6" s="1"/>
    </row>
    <row r="7" spans="1:13" x14ac:dyDescent="0.3">
      <c r="A7" s="8" t="s">
        <v>22</v>
      </c>
      <c r="B7" s="8">
        <v>2.42</v>
      </c>
      <c r="C7" s="6" t="s">
        <v>23</v>
      </c>
      <c r="D7" s="6" t="s">
        <v>24</v>
      </c>
    </row>
    <row r="8" spans="1:13" x14ac:dyDescent="0.3">
      <c r="A8" s="2" t="s">
        <v>4</v>
      </c>
      <c r="B8" s="2">
        <f>(B2+B3)*B5/2</f>
        <v>11250</v>
      </c>
      <c r="C8" s="1"/>
      <c r="D8" s="1"/>
    </row>
    <row r="9" spans="1:13" x14ac:dyDescent="0.3">
      <c r="A9" s="11" t="s">
        <v>5</v>
      </c>
      <c r="B9" s="11">
        <f>B4*(B5+B6)-(B2+B3)*B5/2</f>
        <v>33750</v>
      </c>
      <c r="C9" s="6" t="s">
        <v>6</v>
      </c>
      <c r="D9" s="4" t="s">
        <v>9</v>
      </c>
    </row>
    <row r="10" spans="1:13" x14ac:dyDescent="0.3">
      <c r="A10" s="5" t="s">
        <v>8</v>
      </c>
      <c r="B10" s="5">
        <f>B9/300</f>
        <v>112.5</v>
      </c>
      <c r="C10" s="6" t="s">
        <v>7</v>
      </c>
      <c r="D10" s="4" t="s">
        <v>10</v>
      </c>
    </row>
    <row r="11" spans="1:13" x14ac:dyDescent="0.3">
      <c r="A11" s="1"/>
      <c r="B11" s="1"/>
      <c r="C11" s="1"/>
      <c r="D11" s="1"/>
    </row>
    <row r="12" spans="1:13" x14ac:dyDescent="0.3">
      <c r="A12" s="8" t="s">
        <v>11</v>
      </c>
      <c r="B12" s="8">
        <v>3</v>
      </c>
      <c r="C12" s="6" t="s">
        <v>14</v>
      </c>
      <c r="D12" s="4" t="s">
        <v>15</v>
      </c>
    </row>
    <row r="13" spans="1:13" x14ac:dyDescent="0.3">
      <c r="A13" s="5" t="s">
        <v>12</v>
      </c>
      <c r="B13" s="5">
        <f>B10*2500*0.00001</f>
        <v>2.8125000000000004</v>
      </c>
      <c r="C13" s="6" t="s">
        <v>14</v>
      </c>
      <c r="D13" s="4" t="s">
        <v>16</v>
      </c>
    </row>
    <row r="14" spans="1:13" ht="15" thickBot="1" x14ac:dyDescent="0.35">
      <c r="A14" s="8" t="s">
        <v>13</v>
      </c>
      <c r="B14" s="8">
        <v>2</v>
      </c>
      <c r="C14" s="6" t="s">
        <v>14</v>
      </c>
      <c r="D14" s="4" t="s">
        <v>17</v>
      </c>
    </row>
    <row r="15" spans="1:13" x14ac:dyDescent="0.3">
      <c r="A15" s="2" t="s">
        <v>20</v>
      </c>
      <c r="B15" s="2">
        <f>1.4*(B12+B13)</f>
        <v>8.1374999999999993</v>
      </c>
      <c r="C15" s="13"/>
      <c r="D15" s="1"/>
      <c r="J15" s="31" t="s">
        <v>47</v>
      </c>
      <c r="K15" s="32"/>
      <c r="L15" s="32"/>
      <c r="M15" s="33"/>
    </row>
    <row r="16" spans="1:13" x14ac:dyDescent="0.3">
      <c r="A16" s="2" t="s">
        <v>19</v>
      </c>
      <c r="B16" s="2">
        <f>1.2*(B12+B13)+1.6*(B14)</f>
        <v>10.175000000000001</v>
      </c>
      <c r="C16" s="13"/>
      <c r="D16" s="1"/>
      <c r="J16" s="20" t="s">
        <v>45</v>
      </c>
      <c r="K16" s="7">
        <v>1</v>
      </c>
      <c r="L16" s="3" t="s">
        <v>7</v>
      </c>
      <c r="M16" s="21"/>
    </row>
    <row r="17" spans="1:13" x14ac:dyDescent="0.3">
      <c r="A17" s="5" t="s">
        <v>21</v>
      </c>
      <c r="B17" s="5">
        <f>MAX(B15,B16)</f>
        <v>10.175000000000001</v>
      </c>
      <c r="C17" s="6" t="s">
        <v>14</v>
      </c>
      <c r="D17" s="1"/>
      <c r="J17" s="20" t="s">
        <v>41</v>
      </c>
      <c r="K17" s="7">
        <f>B2</f>
        <v>125</v>
      </c>
      <c r="L17" s="3" t="s">
        <v>7</v>
      </c>
      <c r="M17" s="21"/>
    </row>
    <row r="18" spans="1:13" x14ac:dyDescent="0.3">
      <c r="A18" s="5" t="s">
        <v>18</v>
      </c>
      <c r="B18" s="5">
        <f>B17*B7^2/8</f>
        <v>7.44860875</v>
      </c>
      <c r="C18" s="6" t="s">
        <v>25</v>
      </c>
      <c r="D18" s="6" t="s">
        <v>28</v>
      </c>
      <c r="J18" s="20" t="s">
        <v>42</v>
      </c>
      <c r="K18" s="7">
        <v>460</v>
      </c>
      <c r="L18" s="3" t="s">
        <v>37</v>
      </c>
      <c r="M18" s="21"/>
    </row>
    <row r="19" spans="1:13" ht="15" thickBot="1" x14ac:dyDescent="0.35">
      <c r="J19" s="22"/>
      <c r="K19" s="23"/>
      <c r="L19" s="23"/>
      <c r="M19" s="21"/>
    </row>
    <row r="20" spans="1:13" ht="15" thickBot="1" x14ac:dyDescent="0.35">
      <c r="A20" s="28" t="s">
        <v>44</v>
      </c>
      <c r="B20" s="29"/>
      <c r="C20" s="29"/>
      <c r="D20" s="30"/>
      <c r="J20" s="24" t="s">
        <v>43</v>
      </c>
      <c r="K20" s="25">
        <f>0.9*K17*K16*K18*(B5+B6)/10^6</f>
        <v>7.7625000000000002</v>
      </c>
      <c r="L20" s="26" t="s">
        <v>25</v>
      </c>
      <c r="M20" s="27" t="str">
        <f>IF(K20&gt;=B18,"OK","NOT OK")</f>
        <v>OK</v>
      </c>
    </row>
    <row r="21" spans="1:13" x14ac:dyDescent="0.3">
      <c r="A21" s="35" t="s">
        <v>48</v>
      </c>
      <c r="B21" s="35">
        <f>B22*(1000/B4)</f>
        <v>208.05007401821123</v>
      </c>
      <c r="C21" s="36" t="s">
        <v>6</v>
      </c>
      <c r="D21" s="36" t="s">
        <v>49</v>
      </c>
      <c r="J21" s="37"/>
      <c r="K21" s="10"/>
      <c r="L21" s="34"/>
      <c r="M21" s="34"/>
    </row>
    <row r="22" spans="1:13" x14ac:dyDescent="0.3">
      <c r="A22" s="14" t="s">
        <v>26</v>
      </c>
      <c r="B22" s="5">
        <f>B18*10^6/(0.9*0.9*(B5+B6-20)*340)/(1000/B4)</f>
        <v>62.415022205463366</v>
      </c>
      <c r="C22" s="6" t="s">
        <v>6</v>
      </c>
      <c r="D22" s="15" t="s">
        <v>50</v>
      </c>
    </row>
    <row r="23" spans="1:13" ht="15" thickBot="1" x14ac:dyDescent="0.35">
      <c r="A23" s="16" t="s">
        <v>27</v>
      </c>
      <c r="B23" s="17">
        <f>ROUNDUP(SQRT(B22/(PI()/4)),0)</f>
        <v>9</v>
      </c>
      <c r="C23" s="18" t="s">
        <v>7</v>
      </c>
      <c r="D23" s="19" t="s">
        <v>29</v>
      </c>
    </row>
    <row r="24" spans="1:13" x14ac:dyDescent="0.3">
      <c r="A24" s="1"/>
      <c r="B24" s="1"/>
      <c r="C24" s="1"/>
      <c r="D24" s="1"/>
    </row>
  </sheetData>
  <mergeCells count="2">
    <mergeCell ref="A20:D20"/>
    <mergeCell ref="J15:M15"/>
  </mergeCells>
  <conditionalFormatting sqref="M20:M21">
    <cfRule type="containsText" dxfId="2" priority="1" operator="containsText" text="NOT OK">
      <formula>NOT(ISERROR(SEARCH("NOT OK",M20)))</formula>
    </cfRule>
    <cfRule type="containsText" dxfId="1" priority="2" operator="containsText" text="OK">
      <formula>NOT(ISERROR(SEARCH("OK",M20)))</formula>
    </cfRule>
    <cfRule type="containsText" dxfId="0" priority="3" operator="containsText" text="NOT OK">
      <formula>NOT(ISERROR(SEARCH("NOT OK",M20)))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Komposit</vt:lpstr>
      <vt:lpstr>Metal-Deck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2023-10-29T15:13:05Z</dcterms:created>
  <dcterms:modified xsi:type="dcterms:W3CDTF">2023-11-08T07:30:26Z</dcterms:modified>
</cp:coreProperties>
</file>