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arning\SAGHF\Session\SE-01\EXCEL\"/>
    </mc:Choice>
  </mc:AlternateContent>
  <xr:revisionPtr revIDLastSave="0" documentId="13_ncr:1_{8B44640E-D2D5-4999-B2C3-FAF40A6B8A6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imple" sheetId="2" r:id="rId1"/>
    <sheet name="Sheet1" sheetId="6" r:id="rId2"/>
    <sheet name="Sheet3" sheetId="3" r:id="rId3"/>
  </sheets>
  <definedNames>
    <definedName name="solver_adj" localSheetId="0" hidden="1">Simple!$L$91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Simple!#REF!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8" i="2" l="1"/>
  <c r="J16" i="2"/>
  <c r="J88" i="2" s="1"/>
  <c r="C18" i="3"/>
  <c r="C40" i="2"/>
  <c r="B38" i="2"/>
  <c r="D55" i="2"/>
  <c r="D49" i="2"/>
  <c r="B69" i="2"/>
  <c r="B70" i="2"/>
  <c r="B65" i="2"/>
  <c r="A1" i="6"/>
  <c r="C34" i="2"/>
  <c r="B34" i="2"/>
  <c r="M109" i="2"/>
  <c r="W39" i="2"/>
  <c r="R39" i="2"/>
  <c r="M37" i="2"/>
  <c r="K13" i="2"/>
  <c r="J8" i="2"/>
  <c r="M58" i="2" s="1"/>
  <c r="J80" i="2"/>
  <c r="N80" i="2" s="1"/>
  <c r="M113" i="2"/>
  <c r="M114" i="2" s="1"/>
  <c r="M115" i="2" s="1"/>
  <c r="M116" i="2" s="1"/>
  <c r="M117" i="2" s="1"/>
  <c r="M118" i="2" s="1"/>
  <c r="M119" i="2" s="1"/>
  <c r="M120" i="2" s="1"/>
  <c r="M121" i="2" s="1"/>
  <c r="M122" i="2" s="1"/>
  <c r="Q113" i="2" s="1"/>
  <c r="M123" i="2"/>
  <c r="M104" i="2"/>
  <c r="M103" i="2"/>
  <c r="R58" i="2"/>
  <c r="R59" i="2"/>
  <c r="R60" i="2"/>
  <c r="R61" i="2"/>
  <c r="R62" i="2"/>
  <c r="R63" i="2"/>
  <c r="R64" i="2"/>
  <c r="R65" i="2"/>
  <c r="Q66" i="2"/>
  <c r="Q67" i="2"/>
  <c r="K85" i="2"/>
  <c r="K83" i="2"/>
  <c r="K82" i="2"/>
  <c r="R70" i="2"/>
  <c r="L57" i="2"/>
  <c r="P57" i="2"/>
  <c r="L58" i="2"/>
  <c r="N58" i="2"/>
  <c r="O58" i="2"/>
  <c r="P58" i="2"/>
  <c r="S58" i="2"/>
  <c r="L59" i="2"/>
  <c r="N59" i="2"/>
  <c r="O59" i="2"/>
  <c r="P59" i="2"/>
  <c r="S59" i="2"/>
  <c r="L60" i="2"/>
  <c r="P60" i="2"/>
  <c r="S60" i="2"/>
  <c r="L61" i="2"/>
  <c r="P61" i="2"/>
  <c r="S61" i="2"/>
  <c r="L62" i="2"/>
  <c r="O62" i="2"/>
  <c r="P62" i="2"/>
  <c r="L63" i="2"/>
  <c r="O63" i="2"/>
  <c r="P63" i="2"/>
  <c r="L64" i="2"/>
  <c r="N64" i="2"/>
  <c r="O64" i="2"/>
  <c r="P64" i="2"/>
  <c r="L65" i="2"/>
  <c r="N65" i="2"/>
  <c r="O65" i="2"/>
  <c r="P65" i="2"/>
  <c r="L66" i="2"/>
  <c r="N66" i="2"/>
  <c r="O66" i="2"/>
  <c r="P66" i="2"/>
  <c r="S66" i="2"/>
  <c r="L67" i="2"/>
  <c r="N67" i="2"/>
  <c r="O67" i="2"/>
  <c r="P67" i="2"/>
  <c r="S67" i="2"/>
  <c r="L68" i="2"/>
  <c r="N68" i="2"/>
  <c r="O68" i="2"/>
  <c r="P68" i="2"/>
  <c r="Q68" i="2"/>
  <c r="R68" i="2"/>
  <c r="S68" i="2"/>
  <c r="L69" i="2"/>
  <c r="N69" i="2"/>
  <c r="O69" i="2"/>
  <c r="P69" i="2"/>
  <c r="Q69" i="2"/>
  <c r="R69" i="2"/>
  <c r="S69" i="2"/>
  <c r="L70" i="2"/>
  <c r="N70" i="2"/>
  <c r="O70" i="2"/>
  <c r="P70" i="2"/>
  <c r="Q70" i="2"/>
  <c r="S70" i="2"/>
  <c r="R31" i="2"/>
  <c r="M32" i="2"/>
  <c r="J81" i="2"/>
  <c r="N81" i="2" s="1"/>
  <c r="V8" i="2"/>
  <c r="W41" i="2"/>
  <c r="W42" i="2" s="1"/>
  <c r="W43" i="2" s="1"/>
  <c r="W44" i="2" s="1"/>
  <c r="W45" i="2" s="1"/>
  <c r="W46" i="2" s="1"/>
  <c r="W47" i="2" s="1"/>
  <c r="W48" i="2" s="1"/>
  <c r="W49" i="2" s="1"/>
  <c r="W50" i="2" s="1"/>
  <c r="AA41" i="2" s="1"/>
  <c r="W51" i="2"/>
  <c r="R41" i="2"/>
  <c r="R42" i="2" s="1"/>
  <c r="R43" i="2" s="1"/>
  <c r="R44" i="2" s="1"/>
  <c r="R45" i="2" s="1"/>
  <c r="R46" i="2" s="1"/>
  <c r="R47" i="2" s="1"/>
  <c r="R48" i="2" s="1"/>
  <c r="R49" i="2" s="1"/>
  <c r="R50" i="2" s="1"/>
  <c r="V41" i="2" s="1"/>
  <c r="B91" i="2"/>
  <c r="B90" i="2"/>
  <c r="B89" i="2"/>
  <c r="Z9" i="2"/>
  <c r="AD9" i="2"/>
  <c r="Z8" i="2"/>
  <c r="R8" i="2"/>
  <c r="R9" i="2"/>
  <c r="R10" i="2"/>
  <c r="R51" i="2"/>
  <c r="M51" i="2"/>
  <c r="M41" i="2"/>
  <c r="M42" i="2" s="1"/>
  <c r="M43" i="2" s="1"/>
  <c r="M44" i="2" s="1"/>
  <c r="M45" i="2" s="1"/>
  <c r="M46" i="2" s="1"/>
  <c r="M47" i="2" s="1"/>
  <c r="M48" i="2" s="1"/>
  <c r="M49" i="2" s="1"/>
  <c r="M50" i="2" s="1"/>
  <c r="Q41" i="2" s="1"/>
  <c r="H41" i="2"/>
  <c r="H42" i="2" s="1"/>
  <c r="H51" i="2"/>
  <c r="M31" i="2"/>
  <c r="V9" i="2"/>
  <c r="AD8" i="2"/>
  <c r="W32" i="2"/>
  <c r="W31" i="2"/>
  <c r="V10" i="2"/>
  <c r="Z10" i="2"/>
  <c r="AD10" i="2"/>
  <c r="T17" i="2"/>
  <c r="X17" i="2"/>
  <c r="T16" i="2"/>
  <c r="X16" i="2"/>
  <c r="AB17" i="2"/>
  <c r="AF17" i="2"/>
  <c r="AB16" i="2"/>
  <c r="AF16" i="2"/>
  <c r="I37" i="2"/>
  <c r="K11" i="2"/>
  <c r="K10" i="2"/>
  <c r="M66" i="2"/>
  <c r="AA14" i="2"/>
  <c r="AE14" i="2"/>
  <c r="N60" i="2"/>
  <c r="AA15" i="2"/>
  <c r="AE15" i="2"/>
  <c r="N61" i="2"/>
  <c r="AA17" i="2"/>
  <c r="AE17" i="2"/>
  <c r="N63" i="2"/>
  <c r="S15" i="2"/>
  <c r="W15" i="2"/>
  <c r="S14" i="2"/>
  <c r="W14" i="2"/>
  <c r="S17" i="2"/>
  <c r="W17" i="2"/>
  <c r="J9" i="2"/>
  <c r="N9" i="2" s="1"/>
  <c r="Q59" i="2" s="1"/>
  <c r="B12" i="2"/>
  <c r="K12" i="2"/>
  <c r="K84" i="2"/>
  <c r="N62" i="2"/>
  <c r="AA16" i="2"/>
  <c r="AE16" i="2"/>
  <c r="S16" i="2"/>
  <c r="W16" i="2"/>
  <c r="C39" i="2"/>
  <c r="B39" i="2"/>
  <c r="D17" i="2"/>
  <c r="Z11" i="2" l="1"/>
  <c r="Z12" i="2" s="1"/>
  <c r="Z13" i="2" s="1"/>
  <c r="M59" i="2"/>
  <c r="R11" i="2"/>
  <c r="V11" i="2" s="1"/>
  <c r="N8" i="2"/>
  <c r="Q58" i="2" s="1"/>
  <c r="R12" i="2"/>
  <c r="B71" i="2"/>
  <c r="F32" i="2" s="1"/>
  <c r="G32" i="2" s="1"/>
  <c r="B46" i="2"/>
  <c r="J12" i="2" s="1"/>
  <c r="M62" i="2" s="1"/>
  <c r="B53" i="2"/>
  <c r="B58" i="2" s="1"/>
  <c r="D16" i="2"/>
  <c r="H43" i="2"/>
  <c r="B41" i="2"/>
  <c r="AD11" i="2" l="1"/>
  <c r="AD12" i="2" s="1"/>
  <c r="AD13" i="2" s="1"/>
  <c r="C71" i="2"/>
  <c r="V12" i="2"/>
  <c r="V13" i="2" s="1"/>
  <c r="R13" i="2"/>
  <c r="R16" i="2" s="1"/>
  <c r="N82" i="2"/>
  <c r="P84" i="2" s="1"/>
  <c r="Z16" i="2"/>
  <c r="V16" i="2"/>
  <c r="X18" i="2" s="1"/>
  <c r="AD16" i="2"/>
  <c r="AF18" i="2" s="1"/>
  <c r="N10" i="2"/>
  <c r="Q60" i="2" s="1"/>
  <c r="J84" i="2"/>
  <c r="B43" i="2"/>
  <c r="B42" i="2"/>
  <c r="B49" i="2"/>
  <c r="B24" i="2"/>
  <c r="D52" i="2"/>
  <c r="J10" i="2"/>
  <c r="Z14" i="2" s="1"/>
  <c r="AD14" i="2" s="1"/>
  <c r="C53" i="2"/>
  <c r="L82" i="2"/>
  <c r="B55" i="2"/>
  <c r="B59" i="2" s="1"/>
  <c r="L10" i="2"/>
  <c r="O60" i="2" s="1"/>
  <c r="B57" i="2"/>
  <c r="J82" i="2"/>
  <c r="E16" i="2"/>
  <c r="H44" i="2"/>
  <c r="J85" i="2"/>
  <c r="N83" i="2"/>
  <c r="Z17" i="2"/>
  <c r="J13" i="2"/>
  <c r="N11" i="2"/>
  <c r="R17" i="2" l="1"/>
  <c r="V17" i="2" s="1"/>
  <c r="V19" i="2" s="1"/>
  <c r="N85" i="2"/>
  <c r="P12" i="2"/>
  <c r="S62" i="2" s="1"/>
  <c r="P13" i="2"/>
  <c r="S63" i="2" s="1"/>
  <c r="P85" i="2"/>
  <c r="N84" i="2"/>
  <c r="V18" i="2"/>
  <c r="T14" i="2"/>
  <c r="X14" i="2" s="1"/>
  <c r="AD18" i="2"/>
  <c r="R14" i="2"/>
  <c r="V14" i="2" s="1"/>
  <c r="X19" i="2"/>
  <c r="N12" i="2"/>
  <c r="Q62" i="2" s="1"/>
  <c r="AF19" i="2"/>
  <c r="AB14" i="2"/>
  <c r="AF14" i="2" s="1"/>
  <c r="M60" i="2"/>
  <c r="J19" i="2"/>
  <c r="M69" i="2" s="1"/>
  <c r="J20" i="2"/>
  <c r="M70" i="2" s="1"/>
  <c r="L11" i="2"/>
  <c r="L83" i="2"/>
  <c r="J91" i="2"/>
  <c r="J11" i="2"/>
  <c r="J14" i="2" s="1"/>
  <c r="J83" i="2"/>
  <c r="J86" i="2" s="1"/>
  <c r="J18" i="2"/>
  <c r="J92" i="2"/>
  <c r="J90" i="2"/>
  <c r="D47" i="2"/>
  <c r="B27" i="2"/>
  <c r="B47" i="2" s="1"/>
  <c r="B26" i="2"/>
  <c r="B63" i="2" s="1"/>
  <c r="B64" i="2" s="1"/>
  <c r="B66" i="2" s="1"/>
  <c r="AD17" i="2"/>
  <c r="AD19" i="2" s="1"/>
  <c r="Q61" i="2"/>
  <c r="N13" i="2"/>
  <c r="M63" i="2"/>
  <c r="H45" i="2"/>
  <c r="N86" i="2" l="1"/>
  <c r="N87" i="2" s="1"/>
  <c r="P86" i="2"/>
  <c r="P87" i="2" s="1"/>
  <c r="J87" i="2"/>
  <c r="J89" i="2" s="1"/>
  <c r="N32" i="2"/>
  <c r="X32" i="2"/>
  <c r="J32" i="2"/>
  <c r="I45" i="2" s="1"/>
  <c r="M68" i="2"/>
  <c r="M61" i="2"/>
  <c r="Z15" i="2"/>
  <c r="R15" i="2"/>
  <c r="F30" i="2"/>
  <c r="G30" i="2" s="1"/>
  <c r="C66" i="2"/>
  <c r="AB15" i="2"/>
  <c r="AF15" i="2" s="1"/>
  <c r="O61" i="2"/>
  <c r="T15" i="2"/>
  <c r="X15" i="2" s="1"/>
  <c r="D48" i="2"/>
  <c r="B48" i="2" s="1"/>
  <c r="B50" i="2" s="1"/>
  <c r="D54" i="2"/>
  <c r="B54" i="2" s="1"/>
  <c r="N104" i="2"/>
  <c r="AF20" i="2"/>
  <c r="AF21" i="2" s="1"/>
  <c r="AD20" i="2"/>
  <c r="X20" i="2"/>
  <c r="X21" i="2" s="1"/>
  <c r="V20" i="2"/>
  <c r="H46" i="2"/>
  <c r="J15" i="2"/>
  <c r="M64" i="2"/>
  <c r="Q63" i="2"/>
  <c r="N14" i="2"/>
  <c r="P14" i="2"/>
  <c r="O88" i="2" l="1"/>
  <c r="O89" i="2"/>
  <c r="N107" i="2" s="1"/>
  <c r="N105" i="2"/>
  <c r="B56" i="2"/>
  <c r="B60" i="2"/>
  <c r="F22" i="2"/>
  <c r="G22" i="2" s="1"/>
  <c r="C50" i="2"/>
  <c r="I43" i="2"/>
  <c r="I41" i="2"/>
  <c r="I44" i="2"/>
  <c r="I42" i="2"/>
  <c r="X50" i="2"/>
  <c r="X46" i="2"/>
  <c r="X41" i="2"/>
  <c r="X43" i="2"/>
  <c r="X44" i="2"/>
  <c r="X45" i="2"/>
  <c r="X42" i="2"/>
  <c r="X48" i="2"/>
  <c r="X49" i="2"/>
  <c r="X47" i="2"/>
  <c r="AD15" i="2"/>
  <c r="Z20" i="2"/>
  <c r="Z23" i="2"/>
  <c r="Z18" i="2"/>
  <c r="N115" i="2"/>
  <c r="N113" i="2"/>
  <c r="O113" i="2" s="1"/>
  <c r="N120" i="2"/>
  <c r="N114" i="2"/>
  <c r="O114" i="2" s="1"/>
  <c r="N121" i="2"/>
  <c r="N116" i="2"/>
  <c r="N122" i="2"/>
  <c r="N117" i="2"/>
  <c r="N119" i="2"/>
  <c r="N118" i="2"/>
  <c r="N106" i="2"/>
  <c r="V15" i="2"/>
  <c r="R20" i="2"/>
  <c r="R18" i="2"/>
  <c r="R23" i="2"/>
  <c r="N45" i="2"/>
  <c r="N41" i="2"/>
  <c r="N48" i="2"/>
  <c r="S32" i="2"/>
  <c r="N47" i="2"/>
  <c r="N42" i="2"/>
  <c r="N46" i="2"/>
  <c r="N50" i="2"/>
  <c r="N49" i="2"/>
  <c r="N43" i="2"/>
  <c r="N44" i="2"/>
  <c r="S64" i="2"/>
  <c r="P15" i="2"/>
  <c r="S65" i="2" s="1"/>
  <c r="J17" i="2"/>
  <c r="M65" i="2"/>
  <c r="J34" i="2"/>
  <c r="N34" i="2"/>
  <c r="H47" i="2"/>
  <c r="I46" i="2"/>
  <c r="V22" i="2"/>
  <c r="V21" i="2"/>
  <c r="V23" i="2" s="1"/>
  <c r="Q64" i="2"/>
  <c r="N15" i="2"/>
  <c r="Q65" i="2" s="1"/>
  <c r="O16" i="2"/>
  <c r="AD22" i="2"/>
  <c r="AD23" i="2"/>
  <c r="AD21" i="2"/>
  <c r="O115" i="2" l="1"/>
  <c r="P115" i="2" s="1"/>
  <c r="O121" i="2"/>
  <c r="O119" i="2"/>
  <c r="N108" i="2"/>
  <c r="N109" i="2" s="1"/>
  <c r="O117" i="2"/>
  <c r="O122" i="2"/>
  <c r="P122" i="2" s="1"/>
  <c r="O120" i="2"/>
  <c r="O118" i="2"/>
  <c r="O116" i="2"/>
  <c r="Q117" i="2" s="1"/>
  <c r="P114" i="2"/>
  <c r="P113" i="2"/>
  <c r="Q114" i="2"/>
  <c r="Q115" i="2"/>
  <c r="R19" i="2"/>
  <c r="R21" i="2"/>
  <c r="R22" i="2"/>
  <c r="Z22" i="2"/>
  <c r="Z21" i="2"/>
  <c r="Z19" i="2"/>
  <c r="F24" i="2"/>
  <c r="G24" i="2" s="1"/>
  <c r="C60" i="2"/>
  <c r="S43" i="2"/>
  <c r="S46" i="2"/>
  <c r="S49" i="2"/>
  <c r="S45" i="2"/>
  <c r="S42" i="2"/>
  <c r="S50" i="2"/>
  <c r="S47" i="2"/>
  <c r="S41" i="2"/>
  <c r="S48" i="2"/>
  <c r="S44" i="2"/>
  <c r="O17" i="2"/>
  <c r="O46" i="2" s="1"/>
  <c r="H48" i="2"/>
  <c r="I47" i="2"/>
  <c r="X33" i="2"/>
  <c r="N33" i="2"/>
  <c r="S33" i="2"/>
  <c r="J33" i="2"/>
  <c r="M67" i="2"/>
  <c r="O45" i="2"/>
  <c r="AD25" i="2"/>
  <c r="AD24" i="2"/>
  <c r="AD26" i="2" s="1"/>
  <c r="R66" i="2"/>
  <c r="V25" i="2"/>
  <c r="V27" i="2"/>
  <c r="AD27" i="2"/>
  <c r="V24" i="2"/>
  <c r="V26" i="2" s="1"/>
  <c r="Q116" i="2" l="1"/>
  <c r="J41" i="2"/>
  <c r="K41" i="2" s="1"/>
  <c r="O41" i="2"/>
  <c r="P119" i="2"/>
  <c r="Q121" i="2"/>
  <c r="Q118" i="2"/>
  <c r="P117" i="2"/>
  <c r="P116" i="2"/>
  <c r="Q122" i="2"/>
  <c r="P121" i="2"/>
  <c r="Q120" i="2"/>
  <c r="O44" i="2"/>
  <c r="P45" i="2" s="1"/>
  <c r="P118" i="2"/>
  <c r="Q119" i="2"/>
  <c r="P120" i="2"/>
  <c r="J42" i="2"/>
  <c r="O43" i="2"/>
  <c r="O42" i="2"/>
  <c r="J44" i="2"/>
  <c r="R25" i="2"/>
  <c r="R24" i="2"/>
  <c r="Z24" i="2"/>
  <c r="Z25" i="2"/>
  <c r="J43" i="2"/>
  <c r="O47" i="2"/>
  <c r="Q47" i="2" s="1"/>
  <c r="J45" i="2"/>
  <c r="O48" i="2"/>
  <c r="J47" i="2"/>
  <c r="O49" i="2"/>
  <c r="O50" i="2"/>
  <c r="P46" i="2"/>
  <c r="Q46" i="2"/>
  <c r="H49" i="2"/>
  <c r="I48" i="2"/>
  <c r="J48" i="2" s="1"/>
  <c r="AD29" i="2"/>
  <c r="AD28" i="2"/>
  <c r="R67" i="2"/>
  <c r="J35" i="2"/>
  <c r="J36" i="2" s="1"/>
  <c r="J37" i="2" s="1"/>
  <c r="N35" i="2"/>
  <c r="N36" i="2" s="1"/>
  <c r="N37" i="2" s="1"/>
  <c r="P41" i="2"/>
  <c r="V29" i="2"/>
  <c r="V28" i="2"/>
  <c r="J46" i="2"/>
  <c r="K42" i="2" l="1"/>
  <c r="Q42" i="2"/>
  <c r="K43" i="2"/>
  <c r="Q45" i="2"/>
  <c r="N123" i="2"/>
  <c r="B92" i="2" s="1"/>
  <c r="C92" i="2" s="1"/>
  <c r="F28" i="2" s="1"/>
  <c r="G28" i="2" s="1"/>
  <c r="P42" i="2"/>
  <c r="Q43" i="2"/>
  <c r="Q44" i="2"/>
  <c r="K44" i="2"/>
  <c r="P44" i="2"/>
  <c r="P43" i="2"/>
  <c r="K48" i="2"/>
  <c r="K45" i="2"/>
  <c r="P48" i="2"/>
  <c r="Q49" i="2"/>
  <c r="X34" i="2"/>
  <c r="X36" i="2" s="1"/>
  <c r="S34" i="2"/>
  <c r="S36" i="2" s="1"/>
  <c r="P49" i="2"/>
  <c r="P50" i="2"/>
  <c r="Q48" i="2"/>
  <c r="Q50" i="2"/>
  <c r="P47" i="2"/>
  <c r="X35" i="2"/>
  <c r="X37" i="2" s="1"/>
  <c r="Y47" i="2"/>
  <c r="Y44" i="2"/>
  <c r="Y50" i="2"/>
  <c r="Y46" i="2"/>
  <c r="Y43" i="2"/>
  <c r="Y45" i="2"/>
  <c r="Y41" i="2"/>
  <c r="Y49" i="2"/>
  <c r="Y48" i="2"/>
  <c r="Y42" i="2"/>
  <c r="S35" i="2"/>
  <c r="S37" i="2" s="1"/>
  <c r="T48" i="2"/>
  <c r="T45" i="2"/>
  <c r="T44" i="2"/>
  <c r="T47" i="2"/>
  <c r="T43" i="2"/>
  <c r="T49" i="2"/>
  <c r="T41" i="2"/>
  <c r="T42" i="2"/>
  <c r="T46" i="2"/>
  <c r="T50" i="2"/>
  <c r="K47" i="2"/>
  <c r="K46" i="2"/>
  <c r="H50" i="2"/>
  <c r="L47" i="2" s="1"/>
  <c r="I49" i="2"/>
  <c r="J49" i="2" s="1"/>
  <c r="K49" i="2" s="1"/>
  <c r="D92" i="2" l="1"/>
  <c r="S38" i="2"/>
  <c r="S39" i="2" s="1"/>
  <c r="X38" i="2"/>
  <c r="X39" i="2" s="1"/>
  <c r="N51" i="2"/>
  <c r="B83" i="2" s="1"/>
  <c r="L49" i="2"/>
  <c r="U50" i="2"/>
  <c r="V50" i="2"/>
  <c r="U46" i="2"/>
  <c r="V46" i="2"/>
  <c r="Z43" i="2"/>
  <c r="AA43" i="2"/>
  <c r="AA46" i="2"/>
  <c r="Z46" i="2"/>
  <c r="Z45" i="2"/>
  <c r="AA45" i="2"/>
  <c r="V45" i="2"/>
  <c r="U45" i="2"/>
  <c r="U44" i="2"/>
  <c r="V44" i="2"/>
  <c r="U49" i="2"/>
  <c r="V49" i="2"/>
  <c r="Z49" i="2"/>
  <c r="AA49" i="2"/>
  <c r="Z44" i="2"/>
  <c r="AA44" i="2"/>
  <c r="Z48" i="2"/>
  <c r="AA48" i="2"/>
  <c r="U41" i="2"/>
  <c r="V42" i="2"/>
  <c r="U42" i="2"/>
  <c r="Z41" i="2"/>
  <c r="Z42" i="2"/>
  <c r="AA42" i="2"/>
  <c r="V47" i="2"/>
  <c r="U47" i="2"/>
  <c r="I50" i="2"/>
  <c r="J50" i="2" s="1"/>
  <c r="K50" i="2" s="1"/>
  <c r="L41" i="2"/>
  <c r="L43" i="2"/>
  <c r="L44" i="2"/>
  <c r="L46" i="2"/>
  <c r="L45" i="2"/>
  <c r="L48" i="2"/>
  <c r="L42" i="2"/>
  <c r="U43" i="2"/>
  <c r="V43" i="2"/>
  <c r="U48" i="2"/>
  <c r="V48" i="2"/>
  <c r="AA50" i="2"/>
  <c r="Z50" i="2"/>
  <c r="AA47" i="2"/>
  <c r="Z47" i="2"/>
  <c r="X51" i="2" l="1"/>
  <c r="B85" i="2" s="1"/>
  <c r="L50" i="2"/>
  <c r="I51" i="2" s="1"/>
  <c r="S51" i="2"/>
  <c r="B84" i="2" s="1"/>
  <c r="B87" i="2" l="1"/>
  <c r="B82" i="2"/>
  <c r="B86" i="2" s="1"/>
  <c r="D91" i="2" l="1"/>
  <c r="C91" i="2"/>
  <c r="D90" i="2"/>
  <c r="C89" i="2"/>
  <c r="F26" i="2" s="1"/>
  <c r="G26" i="2" s="1"/>
  <c r="C90" i="2"/>
  <c r="D89" i="2"/>
</calcChain>
</file>

<file path=xl/sharedStrings.xml><?xml version="1.0" encoding="utf-8"?>
<sst xmlns="http://schemas.openxmlformats.org/spreadsheetml/2006/main" count="335" uniqueCount="150">
  <si>
    <t>kPa</t>
  </si>
  <si>
    <t>m</t>
  </si>
  <si>
    <t>f'c=</t>
  </si>
  <si>
    <t>mm</t>
  </si>
  <si>
    <t>qu=</t>
  </si>
  <si>
    <t>kN/m</t>
  </si>
  <si>
    <t>Mu=</t>
  </si>
  <si>
    <t>kN.m</t>
  </si>
  <si>
    <t>Diameter</t>
  </si>
  <si>
    <t>Vu=</t>
  </si>
  <si>
    <t>Spacing</t>
  </si>
  <si>
    <t>Av/s</t>
  </si>
  <si>
    <t>kN</t>
  </si>
  <si>
    <t>آرماتور منفی انتهای تیرچه</t>
  </si>
  <si>
    <t>L/240=</t>
  </si>
  <si>
    <t>MPa</t>
  </si>
  <si>
    <t>mm^2</t>
  </si>
  <si>
    <t>h (ارتفاع کل تیرچه) =</t>
  </si>
  <si>
    <t>Live ( بار زنده) =</t>
  </si>
  <si>
    <t>phi*Mn=</t>
  </si>
  <si>
    <t>As=</t>
  </si>
  <si>
    <t>d (ارتفاع موثر تیرچه) =</t>
  </si>
  <si>
    <t>phi*Vn=</t>
  </si>
  <si>
    <t>چه کسری از بار Live دائمی محسوب می شود؟</t>
  </si>
  <si>
    <t>C</t>
  </si>
  <si>
    <t>f</t>
  </si>
  <si>
    <t>r</t>
  </si>
  <si>
    <t>d'</t>
  </si>
  <si>
    <t xml:space="preserve"> Dead ( مرده بتن سقف )=</t>
  </si>
  <si>
    <t>آرماتور فوقانی لازم برای هر تیرچه</t>
  </si>
  <si>
    <t>آرماتور زیگزاگ (برشی) هر تک تیرچه</t>
  </si>
  <si>
    <t>phi*Vs=</t>
  </si>
  <si>
    <t>delta (total)=(CASE1-CASE2)+(CASE3-CASE4)=</t>
  </si>
  <si>
    <t>delta (LIVE)=(CASE1-CASE2)=</t>
  </si>
  <si>
    <t>L/480=</t>
  </si>
  <si>
    <t>L/360=</t>
  </si>
  <si>
    <t>www.hoseinzadeh.net</t>
  </si>
  <si>
    <t>fy (میلگرد طولی تیرچه) =</t>
  </si>
  <si>
    <t>fyt (میلگرد عرضی تیرچه) =</t>
  </si>
  <si>
    <t>L (طول دهانه تیرچه) =</t>
  </si>
  <si>
    <t>S (فاصله خالص تیرچه ها مطابق شکل)=</t>
  </si>
  <si>
    <t>t ( ضحامت دال بتنی مطابق شکل) =</t>
  </si>
  <si>
    <t>Single or double? ( D: دوبل تیرچه  S: تک تیرچه)</t>
  </si>
  <si>
    <t>0.6*(A*I) جهت محاسبه اثر زلزله قائم</t>
  </si>
  <si>
    <r>
      <t>mm</t>
    </r>
    <r>
      <rPr>
        <i/>
        <sz val="10"/>
        <color theme="1"/>
        <rFont val="Tahoma"/>
        <family val="2"/>
      </rPr>
      <t>2</t>
    </r>
  </si>
  <si>
    <t>Ratio (M)</t>
  </si>
  <si>
    <t>Ratio (V)</t>
  </si>
  <si>
    <t>W (عرض تک تیرچه مطابق شکل)=</t>
  </si>
  <si>
    <r>
      <rPr>
        <sz val="14"/>
        <rFont val="Tahoma"/>
        <family val="2"/>
      </rPr>
      <t xml:space="preserve">Number </t>
    </r>
    <r>
      <rPr>
        <i/>
        <sz val="14"/>
        <rFont val="Tahoma"/>
        <family val="2"/>
      </rPr>
      <t>(</t>
    </r>
    <r>
      <rPr>
        <b/>
        <i/>
        <sz val="14"/>
        <rFont val="Tahoma"/>
        <family val="2"/>
      </rPr>
      <t>one joist</t>
    </r>
    <r>
      <rPr>
        <i/>
        <sz val="14"/>
        <rFont val="Tahoma"/>
        <family val="2"/>
      </rPr>
      <t xml:space="preserve">) </t>
    </r>
  </si>
  <si>
    <t>سایز آرماتور افت و حرارت (در کنترل خیز تاثیرگذار است)</t>
  </si>
  <si>
    <t>آرماتور طولی کلاف میانی</t>
  </si>
  <si>
    <t>چه کسری از بار SD و P قبل از اتصال قطعات غیر سازه ای وارد می شود؟</t>
  </si>
  <si>
    <t>مقطع ترک نخورده قبل از گذر زمان</t>
  </si>
  <si>
    <t>Af</t>
  </si>
  <si>
    <t>(n-1)*As</t>
  </si>
  <si>
    <t>(n-1)*A's</t>
  </si>
  <si>
    <t>Ec</t>
  </si>
  <si>
    <t>n=Es/Ec</t>
  </si>
  <si>
    <t>I</t>
  </si>
  <si>
    <t>Aw,Yw,Iw</t>
  </si>
  <si>
    <t>Y (from top)</t>
  </si>
  <si>
    <t>مقطع ترک خورده قبل از گذر زمان</t>
  </si>
  <si>
    <t>B</t>
  </si>
  <si>
    <t>nAs</t>
  </si>
  <si>
    <t>Y(from top)</t>
  </si>
  <si>
    <t>I=</t>
  </si>
  <si>
    <t>Y (from Top)</t>
  </si>
  <si>
    <t>fr</t>
  </si>
  <si>
    <t>Mcr</t>
  </si>
  <si>
    <t>M-D</t>
  </si>
  <si>
    <t>M-SD</t>
  </si>
  <si>
    <t>M-L</t>
  </si>
  <si>
    <r>
      <t>z</t>
    </r>
    <r>
      <rPr>
        <sz val="18"/>
        <color theme="1"/>
        <rFont val="Times New Roman"/>
        <family val="1"/>
      </rPr>
      <t xml:space="preserve"> (short term)</t>
    </r>
    <r>
      <rPr>
        <sz val="18"/>
        <color theme="1"/>
        <rFont val="Symbol"/>
        <family val="1"/>
        <charset val="2"/>
      </rPr>
      <t>=</t>
    </r>
  </si>
  <si>
    <r>
      <t>z</t>
    </r>
    <r>
      <rPr>
        <sz val="18"/>
        <color theme="1"/>
        <rFont val="Times New Roman"/>
        <family val="1"/>
      </rPr>
      <t xml:space="preserve"> (Long term)</t>
    </r>
    <r>
      <rPr>
        <sz val="18"/>
        <color theme="1"/>
        <rFont val="Symbol"/>
        <family val="1"/>
        <charset val="2"/>
      </rPr>
      <t>=</t>
    </r>
  </si>
  <si>
    <r>
      <rPr>
        <i/>
        <sz val="18"/>
        <color theme="1"/>
        <rFont val="Symbol"/>
        <family val="1"/>
        <charset val="2"/>
      </rPr>
      <t>y</t>
    </r>
    <r>
      <rPr>
        <sz val="18"/>
        <color theme="1"/>
        <rFont val="Times New Roman"/>
        <family val="1"/>
      </rPr>
      <t>1 (t0)</t>
    </r>
    <r>
      <rPr>
        <sz val="18"/>
        <color theme="1"/>
        <rFont val="Symbol"/>
        <family val="1"/>
        <charset val="2"/>
      </rPr>
      <t>=</t>
    </r>
    <r>
      <rPr>
        <sz val="18"/>
        <color theme="1"/>
        <rFont val="Times New Roman"/>
        <family val="1"/>
      </rPr>
      <t>Ma/EI</t>
    </r>
    <r>
      <rPr>
        <sz val="18"/>
        <color theme="1"/>
        <rFont val="Symbol"/>
        <family val="1"/>
        <charset val="2"/>
      </rPr>
      <t>=</t>
    </r>
  </si>
  <si>
    <r>
      <rPr>
        <i/>
        <sz val="18"/>
        <color theme="1"/>
        <rFont val="Symbol"/>
        <family val="1"/>
        <charset val="2"/>
      </rPr>
      <t>y</t>
    </r>
    <r>
      <rPr>
        <sz val="18"/>
        <color theme="1"/>
        <rFont val="Times New Roman"/>
        <family val="1"/>
      </rPr>
      <t>2 (t0)</t>
    </r>
    <r>
      <rPr>
        <sz val="18"/>
        <color theme="1"/>
        <rFont val="Symbol"/>
        <family val="1"/>
        <charset val="2"/>
      </rPr>
      <t>=</t>
    </r>
    <r>
      <rPr>
        <sz val="18"/>
        <color theme="1"/>
        <rFont val="Times New Roman"/>
        <family val="1"/>
      </rPr>
      <t>Ma/EI</t>
    </r>
    <r>
      <rPr>
        <sz val="18"/>
        <color theme="1"/>
        <rFont val="Symbol"/>
        <family val="1"/>
        <charset val="2"/>
      </rPr>
      <t>=</t>
    </r>
  </si>
  <si>
    <r>
      <rPr>
        <i/>
        <sz val="18"/>
        <color theme="1"/>
        <rFont val="Symbol"/>
        <family val="1"/>
        <charset val="2"/>
      </rPr>
      <t>y</t>
    </r>
    <r>
      <rPr>
        <sz val="18"/>
        <color theme="1"/>
        <rFont val="Times New Roman"/>
        <family val="1"/>
      </rPr>
      <t xml:space="preserve"> (t0)</t>
    </r>
    <r>
      <rPr>
        <sz val="18"/>
        <color theme="1"/>
        <rFont val="Symbol"/>
        <family val="1"/>
        <charset val="2"/>
      </rPr>
      <t>=</t>
    </r>
  </si>
  <si>
    <t>Ma-(D+SD+L) =</t>
  </si>
  <si>
    <r>
      <rPr>
        <i/>
        <sz val="18"/>
        <color theme="1"/>
        <rFont val="Symbol"/>
        <family val="1"/>
        <charset val="2"/>
      </rPr>
      <t>f</t>
    </r>
    <r>
      <rPr>
        <sz val="18"/>
        <color theme="1"/>
        <rFont val="Times New Roman"/>
        <family val="1"/>
      </rPr>
      <t xml:space="preserve"> (t,t0)</t>
    </r>
    <r>
      <rPr>
        <sz val="18"/>
        <color theme="1"/>
        <rFont val="Symbol"/>
        <family val="1"/>
        <charset val="2"/>
      </rPr>
      <t>=</t>
    </r>
    <r>
      <rPr>
        <sz val="18"/>
        <color theme="1"/>
        <rFont val="Times New Roman"/>
        <family val="1"/>
      </rPr>
      <t>creep coefficient=</t>
    </r>
  </si>
  <si>
    <r>
      <rPr>
        <i/>
        <sz val="18"/>
        <color theme="1"/>
        <rFont val="Symbol"/>
        <family val="1"/>
        <charset val="2"/>
      </rPr>
      <t>c</t>
    </r>
    <r>
      <rPr>
        <sz val="18"/>
        <color theme="1"/>
        <rFont val="Times New Roman"/>
        <family val="1"/>
      </rPr>
      <t xml:space="preserve"> (t,t0)</t>
    </r>
    <r>
      <rPr>
        <sz val="18"/>
        <color theme="1"/>
        <rFont val="Symbol"/>
        <family val="1"/>
        <charset val="2"/>
      </rPr>
      <t>=</t>
    </r>
    <r>
      <rPr>
        <sz val="18"/>
        <color theme="1"/>
        <rFont val="Times New Roman"/>
        <family val="1"/>
      </rPr>
      <t>aging coefficient=</t>
    </r>
  </si>
  <si>
    <t>Ec (t,t0)= Age-adjusted Ec=</t>
  </si>
  <si>
    <t>n=</t>
  </si>
  <si>
    <t>Ec=</t>
  </si>
  <si>
    <t>n*As</t>
  </si>
  <si>
    <t>مقطع ترک نخورده پس از 3 ماه</t>
  </si>
  <si>
    <t>مقطع ترک نخورده پس از زمان طولانی (5 سال)</t>
  </si>
  <si>
    <t>Yc</t>
  </si>
  <si>
    <t>Yc-Y</t>
  </si>
  <si>
    <t>Ic</t>
  </si>
  <si>
    <t>Ac</t>
  </si>
  <si>
    <t>rC^2</t>
  </si>
  <si>
    <t>Kc</t>
  </si>
  <si>
    <r>
      <rPr>
        <i/>
        <sz val="20"/>
        <color theme="1"/>
        <rFont val="Symbol"/>
        <family val="1"/>
        <charset val="2"/>
      </rPr>
      <t>e</t>
    </r>
    <r>
      <rPr>
        <i/>
        <sz val="12"/>
        <color theme="1"/>
        <rFont val="Times New Roman"/>
        <family val="1"/>
      </rPr>
      <t>cs</t>
    </r>
    <r>
      <rPr>
        <sz val="18"/>
        <color theme="1"/>
        <rFont val="Times New Roman"/>
        <family val="1"/>
      </rPr>
      <t xml:space="preserve"> (t,t0)</t>
    </r>
    <r>
      <rPr>
        <sz val="18"/>
        <color theme="1"/>
        <rFont val="Symbol"/>
        <family val="1"/>
        <charset val="2"/>
      </rPr>
      <t>=</t>
    </r>
    <r>
      <rPr>
        <sz val="18"/>
        <color theme="1"/>
        <rFont val="Times New Roman"/>
        <family val="1"/>
      </rPr>
      <t>Shrinkage=</t>
    </r>
  </si>
  <si>
    <t>مقطع ترک خورده پس از زمان طولانی (5 سال)</t>
  </si>
  <si>
    <r>
      <rPr>
        <sz val="18"/>
        <color theme="1"/>
        <rFont val="Times New Roman"/>
        <family val="1"/>
      </rPr>
      <t xml:space="preserve">delta </t>
    </r>
    <r>
      <rPr>
        <sz val="18"/>
        <color theme="1"/>
        <rFont val="Symbol"/>
        <family val="1"/>
        <charset val="2"/>
      </rPr>
      <t>y1=</t>
    </r>
  </si>
  <si>
    <r>
      <rPr>
        <sz val="18"/>
        <color theme="1"/>
        <rFont val="Times New Roman"/>
        <family val="1"/>
      </rPr>
      <t xml:space="preserve">delta </t>
    </r>
    <r>
      <rPr>
        <sz val="18"/>
        <color theme="1"/>
        <rFont val="Symbol"/>
        <family val="1"/>
        <charset val="2"/>
      </rPr>
      <t>y2=</t>
    </r>
  </si>
  <si>
    <r>
      <rPr>
        <sz val="18"/>
        <color theme="1"/>
        <rFont val="Times New Roman"/>
        <family val="1"/>
      </rPr>
      <t xml:space="preserve"> </t>
    </r>
    <r>
      <rPr>
        <sz val="18"/>
        <color theme="1"/>
        <rFont val="Symbol"/>
        <family val="1"/>
        <charset val="2"/>
      </rPr>
      <t>y1=</t>
    </r>
  </si>
  <si>
    <r>
      <rPr>
        <sz val="18"/>
        <color theme="1"/>
        <rFont val="Times New Roman"/>
        <family val="1"/>
      </rPr>
      <t xml:space="preserve"> </t>
    </r>
    <r>
      <rPr>
        <sz val="18"/>
        <color theme="1"/>
        <rFont val="Symbol"/>
        <family val="1"/>
        <charset val="2"/>
      </rPr>
      <t xml:space="preserve">y </t>
    </r>
    <r>
      <rPr>
        <sz val="18"/>
        <color theme="1"/>
        <rFont val="Times New Roman"/>
        <family val="1"/>
      </rPr>
      <t>(AVE)=</t>
    </r>
  </si>
  <si>
    <t>y2=</t>
  </si>
  <si>
    <t>مقطع ترک خورده پس از 3 ماه</t>
  </si>
  <si>
    <t>CASE1: D+SD+Live    (without Creep)</t>
  </si>
  <si>
    <t>Ma</t>
  </si>
  <si>
    <t>جمع مساحت آرماتور فشاری قرار داده شده در تیرچه ها(همراه با حرارتی)</t>
  </si>
  <si>
    <t>CASE 1=</t>
  </si>
  <si>
    <t>CASE 2=</t>
  </si>
  <si>
    <t>CASE 3=</t>
  </si>
  <si>
    <t>CASE 4=</t>
  </si>
  <si>
    <t>خمش</t>
  </si>
  <si>
    <t xml:space="preserve">برش </t>
  </si>
  <si>
    <t>خیز</t>
  </si>
  <si>
    <t>لرزش</t>
  </si>
  <si>
    <t>freq=</t>
  </si>
  <si>
    <r>
      <rPr>
        <i/>
        <sz val="20"/>
        <color theme="1"/>
        <rFont val="Symbol"/>
        <family val="1"/>
        <charset val="2"/>
      </rPr>
      <t>e</t>
    </r>
    <r>
      <rPr>
        <i/>
        <sz val="12"/>
        <color theme="1"/>
        <rFont val="Times New Roman"/>
        <family val="1"/>
      </rPr>
      <t>cs</t>
    </r>
    <r>
      <rPr>
        <sz val="18"/>
        <color theme="1"/>
        <rFont val="Times New Roman"/>
        <family val="1"/>
      </rPr>
      <t xml:space="preserve"> (3month,t0)</t>
    </r>
    <r>
      <rPr>
        <sz val="18"/>
        <color theme="1"/>
        <rFont val="Symbol"/>
        <family val="1"/>
        <charset val="2"/>
      </rPr>
      <t>=</t>
    </r>
    <r>
      <rPr>
        <sz val="18"/>
        <color theme="1"/>
        <rFont val="Times New Roman"/>
        <family val="1"/>
      </rPr>
      <t>Shrinkage=</t>
    </r>
    <r>
      <rPr>
        <sz val="18"/>
        <color theme="1"/>
        <rFont val="Symbol"/>
        <family val="1"/>
        <charset val="2"/>
      </rPr>
      <t xml:space="preserve">  </t>
    </r>
  </si>
  <si>
    <r>
      <rPr>
        <i/>
        <sz val="18"/>
        <color theme="1"/>
        <rFont val="Symbol"/>
        <family val="1"/>
        <charset val="2"/>
      </rPr>
      <t>f</t>
    </r>
    <r>
      <rPr>
        <sz val="18"/>
        <color theme="1"/>
        <rFont val="Times New Roman"/>
        <family val="1"/>
      </rPr>
      <t xml:space="preserve"> (3month,t0)</t>
    </r>
    <r>
      <rPr>
        <sz val="18"/>
        <color theme="1"/>
        <rFont val="Symbol"/>
        <family val="1"/>
        <charset val="2"/>
      </rPr>
      <t>=</t>
    </r>
    <r>
      <rPr>
        <sz val="18"/>
        <color theme="1"/>
        <rFont val="Times New Roman"/>
        <family val="1"/>
      </rPr>
      <t>creep coefficient=</t>
    </r>
    <r>
      <rPr>
        <sz val="18"/>
        <color theme="1"/>
        <rFont val="Symbol"/>
        <family val="1"/>
        <charset val="2"/>
      </rPr>
      <t xml:space="preserve">  </t>
    </r>
  </si>
  <si>
    <r>
      <rPr>
        <i/>
        <sz val="20"/>
        <color theme="1"/>
        <rFont val="Symbol"/>
        <family val="1"/>
        <charset val="2"/>
      </rPr>
      <t>e</t>
    </r>
    <r>
      <rPr>
        <i/>
        <sz val="12"/>
        <color theme="1"/>
        <rFont val="Times New Roman"/>
        <family val="1"/>
      </rPr>
      <t>cs</t>
    </r>
    <r>
      <rPr>
        <sz val="18"/>
        <color theme="1"/>
        <rFont val="Times New Roman"/>
        <family val="1"/>
      </rPr>
      <t xml:space="preserve"> (Long term,t0)</t>
    </r>
    <r>
      <rPr>
        <sz val="18"/>
        <color theme="1"/>
        <rFont val="Symbol"/>
        <family val="1"/>
        <charset val="2"/>
      </rPr>
      <t>=</t>
    </r>
    <r>
      <rPr>
        <sz val="18"/>
        <color theme="1"/>
        <rFont val="Times New Roman"/>
        <family val="1"/>
      </rPr>
      <t>Shrinkage=</t>
    </r>
    <r>
      <rPr>
        <sz val="18"/>
        <color theme="1"/>
        <rFont val="Symbol"/>
        <family val="1"/>
        <charset val="2"/>
      </rPr>
      <t xml:space="preserve">  </t>
    </r>
  </si>
  <si>
    <r>
      <rPr>
        <i/>
        <sz val="18"/>
        <color theme="1"/>
        <rFont val="Symbol"/>
        <family val="1"/>
        <charset val="2"/>
      </rPr>
      <t>f</t>
    </r>
    <r>
      <rPr>
        <sz val="18"/>
        <color theme="1"/>
        <rFont val="Times New Roman"/>
        <family val="1"/>
      </rPr>
      <t xml:space="preserve"> (Long term,t0)</t>
    </r>
    <r>
      <rPr>
        <sz val="18"/>
        <color theme="1"/>
        <rFont val="Symbol"/>
        <family val="1"/>
        <charset val="2"/>
      </rPr>
      <t>=</t>
    </r>
    <r>
      <rPr>
        <sz val="18"/>
        <color theme="1"/>
        <rFont val="Times New Roman"/>
        <family val="1"/>
      </rPr>
      <t>creep coefficient=</t>
    </r>
    <r>
      <rPr>
        <sz val="18"/>
        <color theme="1"/>
        <rFont val="Symbol"/>
        <family val="1"/>
        <charset val="2"/>
      </rPr>
      <t xml:space="preserve">  </t>
    </r>
  </si>
  <si>
    <r>
      <rPr>
        <i/>
        <sz val="18"/>
        <color theme="1"/>
        <rFont val="Symbol"/>
        <family val="1"/>
        <charset val="2"/>
      </rPr>
      <t>c</t>
    </r>
    <r>
      <rPr>
        <sz val="18"/>
        <color theme="1"/>
        <rFont val="Times New Roman"/>
        <family val="1"/>
      </rPr>
      <t xml:space="preserve"> (t,t0)</t>
    </r>
    <r>
      <rPr>
        <sz val="18"/>
        <color theme="1"/>
        <rFont val="Symbol"/>
        <family val="1"/>
        <charset val="2"/>
      </rPr>
      <t>=</t>
    </r>
    <r>
      <rPr>
        <sz val="18"/>
        <color theme="1"/>
        <rFont val="Times New Roman"/>
        <family val="1"/>
      </rPr>
      <t>aging coefficient=</t>
    </r>
    <r>
      <rPr>
        <sz val="18"/>
        <color theme="1"/>
        <rFont val="Symbol"/>
        <family val="1"/>
        <charset val="2"/>
      </rPr>
      <t xml:space="preserve">  </t>
    </r>
  </si>
  <si>
    <t>مقطع ترک نخورده قبل از گذر زمان (با مدول الاستیسیته 1.25 برابر)</t>
  </si>
  <si>
    <t>مقطع ترک خورده قبل از گذر زمان  (با مدول الاستیسیته 1.25 برابر)</t>
  </si>
  <si>
    <t>فرکانس مجاز سقف</t>
  </si>
  <si>
    <t>Partition (مرده تیغه بندی )=</t>
  </si>
  <si>
    <t>( هر تک تیرچه)</t>
  </si>
  <si>
    <t>آرماتور کششی پایین</t>
  </si>
  <si>
    <t>کنترل مقاومت خمشی تیرچه و طراحی میلگردهای کششی تحتانی</t>
  </si>
  <si>
    <t>کنترل مقاومت برشی تیرچه</t>
  </si>
  <si>
    <t>Size of Point load ( ابعاد بار زنده متمرکز احتمالی جهت کنترل پانچ بتن رویه )=</t>
  </si>
  <si>
    <t>کنترل برش پانچ  بتن رویه تحت بار متمرکز</t>
  </si>
  <si>
    <t>کنترل ضخامت بتن رویه برای خمش یک طرفه (با فرض غیرمسلح بودن بتن)</t>
  </si>
  <si>
    <t>Pu</t>
  </si>
  <si>
    <t>خمش بتن رویه</t>
  </si>
  <si>
    <t>پانچ بتن رویه</t>
  </si>
  <si>
    <t>مراجع</t>
  </si>
  <si>
    <t>Ghali, A., Favre, R., &amp; Elbadry, M. (2006). Concrete structures: Stresses and deformations</t>
  </si>
  <si>
    <t>ACI Committee. (2008). ACI 209R–92 Prediction of Creep, Shrinkage, and Temperature Effects in Concrete Structures. Farmington Hills.</t>
  </si>
  <si>
    <t xml:space="preserve">   آقازاده، پ.، آقازاده، ص.، (1397)، محاسب حرفه ای (جلد اول)،  انتشارات پردیس علم، </t>
  </si>
  <si>
    <t>https://telegram.me/hoseinzadehasl</t>
  </si>
  <si>
    <t>https://www.instagram.com/masoud_hoseinzadeh_asl</t>
  </si>
  <si>
    <t xml:space="preserve">   مبحث نهم مقررات ملی ساختمان، ویرایش پنجم، 1399</t>
  </si>
  <si>
    <t>Supper Dead ( مرده کف سازی )=</t>
  </si>
  <si>
    <t>f8</t>
  </si>
  <si>
    <t>phi*Vc (without stirrup)=</t>
  </si>
  <si>
    <t>phi*Vc (with stirrup) =</t>
  </si>
  <si>
    <t>Point load ( بار زنده متمرکز، در صورت وجود، جهت کنترل پانچ بتن رویه )=</t>
  </si>
  <si>
    <t>Distributed load ( بار گسترده مرده، در صورت وجود )=</t>
  </si>
  <si>
    <t>qu ( بار گسترده سطحی ضریب دار،بدون اثر بار گسترده خطی )=</t>
  </si>
  <si>
    <t>qu ( بار گسترده خطی ضریب دار،با اثر بار گسترده خطی )=</t>
  </si>
  <si>
    <t>M-SD + M-P</t>
  </si>
  <si>
    <t>f16</t>
  </si>
  <si>
    <t>f4.5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</si>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</sst>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0000"/>
    <numFmt numFmtId="167" formatCode="0.000000"/>
  </numFmts>
  <fonts count="37" x14ac:knownFonts="1">
    <font>
      <sz val="11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theme="1"/>
      <name val="Tahoma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ahoma"/>
      <family val="2"/>
    </font>
    <font>
      <u/>
      <sz val="11"/>
      <color theme="10"/>
      <name val="Calibri"/>
      <family val="2"/>
      <scheme val="minor"/>
    </font>
    <font>
      <sz val="14"/>
      <name val="Tahoma"/>
      <family val="2"/>
    </font>
    <font>
      <sz val="12"/>
      <name val="Tahoma"/>
      <family val="2"/>
    </font>
    <font>
      <sz val="11"/>
      <color theme="1"/>
      <name val="Tahoma"/>
      <family val="2"/>
    </font>
    <font>
      <i/>
      <sz val="14"/>
      <name val="Tahoma"/>
      <family val="2"/>
    </font>
    <font>
      <b/>
      <i/>
      <sz val="14"/>
      <name val="Tahoma"/>
      <family val="2"/>
    </font>
    <font>
      <i/>
      <sz val="12"/>
      <name val="Tahoma"/>
      <family val="2"/>
    </font>
    <font>
      <sz val="11"/>
      <color theme="0"/>
      <name val="Tahoma"/>
      <family val="2"/>
    </font>
    <font>
      <i/>
      <sz val="10"/>
      <color theme="1"/>
      <name val="Tahoma"/>
      <family val="2"/>
    </font>
    <font>
      <b/>
      <sz val="14"/>
      <color theme="1"/>
      <name val="Tahoma"/>
      <family val="2"/>
    </font>
    <font>
      <sz val="18"/>
      <color theme="1"/>
      <name val="Symbol"/>
      <family val="1"/>
      <charset val="2"/>
    </font>
    <font>
      <sz val="18"/>
      <color theme="1"/>
      <name val="Times New Roman"/>
      <family val="1"/>
    </font>
    <font>
      <i/>
      <sz val="18"/>
      <color theme="1"/>
      <name val="Symbol"/>
      <family val="1"/>
      <charset val="2"/>
    </font>
    <font>
      <i/>
      <sz val="12"/>
      <color theme="1"/>
      <name val="Times New Roman"/>
      <family val="1"/>
    </font>
    <font>
      <i/>
      <sz val="20"/>
      <color theme="1"/>
      <name val="Symbol"/>
      <family val="1"/>
      <charset val="2"/>
    </font>
    <font>
      <sz val="15"/>
      <color theme="1"/>
      <name val="Times New Roman"/>
      <family val="1"/>
    </font>
    <font>
      <i/>
      <sz val="12"/>
      <color theme="0"/>
      <name val="Times New Roman"/>
      <family val="1"/>
    </font>
    <font>
      <sz val="11"/>
      <color rgb="FFFF0000"/>
      <name val="Tahoma"/>
      <family val="2"/>
    </font>
    <font>
      <sz val="12"/>
      <name val="Symbol"/>
      <family val="1"/>
      <charset val="2"/>
    </font>
    <font>
      <b/>
      <sz val="14"/>
      <name val="Tahoma"/>
      <family val="2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13"/>
      <color theme="10"/>
      <name val="Calibri"/>
      <family val="2"/>
      <scheme val="minor"/>
    </font>
    <font>
      <sz val="13"/>
      <color theme="1"/>
      <name val="Tahoma"/>
      <family val="2"/>
    </font>
    <font>
      <sz val="22"/>
      <name val="B Zar"/>
      <charset val="178"/>
    </font>
    <font>
      <sz val="22"/>
      <color theme="1"/>
      <name val="Calibri"/>
      <family val="2"/>
      <scheme val="minor"/>
    </font>
    <font>
      <sz val="22"/>
      <color theme="1"/>
      <name val="Tahoma"/>
      <family val="2"/>
    </font>
    <font>
      <b/>
      <i/>
      <sz val="12"/>
      <name val="Tahoma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4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8" fillId="0" borderId="7" xfId="0" applyFont="1" applyFill="1" applyBorder="1" applyAlignment="1">
      <alignment horizontal="right"/>
    </xf>
    <xf numFmtId="0" fontId="8" fillId="0" borderId="7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/>
    </xf>
    <xf numFmtId="0" fontId="10" fillId="0" borderId="0" xfId="0" applyFont="1"/>
    <xf numFmtId="0" fontId="6" fillId="3" borderId="9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5" borderId="8" xfId="0" applyFont="1" applyFill="1" applyBorder="1" applyAlignment="1">
      <alignment vertical="center"/>
    </xf>
    <xf numFmtId="0" fontId="1" fillId="4" borderId="1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0" borderId="9" xfId="0" applyFont="1" applyFill="1" applyBorder="1" applyAlignment="1">
      <alignment horizontal="right" vertical="center"/>
    </xf>
    <xf numFmtId="0" fontId="13" fillId="5" borderId="7" xfId="0" applyFont="1" applyFill="1" applyBorder="1" applyAlignment="1">
      <alignment horizontal="right" vertical="center"/>
    </xf>
    <xf numFmtId="164" fontId="13" fillId="5" borderId="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67" fontId="0" fillId="0" borderId="0" xfId="0" applyNumberFormat="1"/>
    <xf numFmtId="0" fontId="2" fillId="5" borderId="14" xfId="0" applyFont="1" applyFill="1" applyBorder="1" applyAlignment="1">
      <alignment horizontal="right" vertical="center"/>
    </xf>
    <xf numFmtId="0" fontId="3" fillId="0" borderId="0" xfId="0" applyFont="1" applyFill="1"/>
    <xf numFmtId="0" fontId="0" fillId="0" borderId="0" xfId="0" applyAlignment="1">
      <alignment horizontal="center"/>
    </xf>
    <xf numFmtId="0" fontId="0" fillId="0" borderId="13" xfId="0" applyBorder="1"/>
    <xf numFmtId="0" fontId="0" fillId="0" borderId="19" xfId="0" applyBorder="1"/>
    <xf numFmtId="0" fontId="0" fillId="0" borderId="17" xfId="0" applyBorder="1"/>
    <xf numFmtId="0" fontId="0" fillId="0" borderId="14" xfId="0" applyBorder="1"/>
    <xf numFmtId="0" fontId="0" fillId="0" borderId="0" xfId="0" applyBorder="1"/>
    <xf numFmtId="0" fontId="0" fillId="0" borderId="18" xfId="0" applyBorder="1"/>
    <xf numFmtId="0" fontId="0" fillId="0" borderId="15" xfId="0" applyBorder="1"/>
    <xf numFmtId="0" fontId="0" fillId="0" borderId="20" xfId="0" applyBorder="1"/>
    <xf numFmtId="0" fontId="0" fillId="0" borderId="16" xfId="0" applyBorder="1"/>
    <xf numFmtId="0" fontId="0" fillId="0" borderId="0" xfId="0" applyFill="1" applyBorder="1"/>
    <xf numFmtId="0" fontId="17" fillId="0" borderId="14" xfId="0" applyFont="1" applyBorder="1" applyAlignment="1">
      <alignment horizontal="center"/>
    </xf>
    <xf numFmtId="0" fontId="2" fillId="5" borderId="15" xfId="0" applyFont="1" applyFill="1" applyBorder="1" applyAlignment="1">
      <alignment horizontal="right" vertical="center"/>
    </xf>
    <xf numFmtId="0" fontId="17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Fill="1" applyBorder="1" applyAlignment="1">
      <alignment horizontal="center" wrapText="1"/>
    </xf>
    <xf numFmtId="0" fontId="5" fillId="0" borderId="0" xfId="0" applyFont="1" applyBorder="1"/>
    <xf numFmtId="0" fontId="5" fillId="0" borderId="18" xfId="0" applyFont="1" applyBorder="1"/>
    <xf numFmtId="0" fontId="18" fillId="0" borderId="15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5" borderId="14" xfId="0" applyFont="1" applyFill="1" applyBorder="1" applyAlignment="1">
      <alignment horizontal="right" vertical="center"/>
    </xf>
    <xf numFmtId="0" fontId="18" fillId="0" borderId="14" xfId="0" applyFont="1" applyFill="1" applyBorder="1" applyAlignment="1">
      <alignment horizontal="center"/>
    </xf>
    <xf numFmtId="0" fontId="2" fillId="5" borderId="21" xfId="0" applyFont="1" applyFill="1" applyBorder="1" applyAlignment="1">
      <alignment vertical="center"/>
    </xf>
    <xf numFmtId="0" fontId="2" fillId="5" borderId="22" xfId="0" applyFont="1" applyFill="1" applyBorder="1" applyAlignment="1">
      <alignment vertical="center"/>
    </xf>
    <xf numFmtId="0" fontId="2" fillId="5" borderId="23" xfId="0" applyFont="1" applyFill="1" applyBorder="1" applyAlignment="1">
      <alignment vertical="center"/>
    </xf>
    <xf numFmtId="0" fontId="17" fillId="0" borderId="13" xfId="0" applyFont="1" applyFill="1" applyBorder="1" applyAlignment="1">
      <alignment horizontal="center"/>
    </xf>
    <xf numFmtId="0" fontId="22" fillId="5" borderId="14" xfId="0" applyFont="1" applyFill="1" applyBorder="1" applyAlignment="1">
      <alignment horizontal="center" vertical="center"/>
    </xf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2" fillId="5" borderId="20" xfId="0" applyFont="1" applyFill="1" applyBorder="1" applyAlignment="1">
      <alignment horizontal="right" vertical="center"/>
    </xf>
    <xf numFmtId="0" fontId="17" fillId="0" borderId="19" xfId="0" applyFont="1" applyBorder="1" applyAlignment="1">
      <alignment horizontal="center"/>
    </xf>
    <xf numFmtId="0" fontId="23" fillId="0" borderId="0" xfId="0" applyFont="1" applyFill="1" applyBorder="1"/>
    <xf numFmtId="164" fontId="1" fillId="3" borderId="0" xfId="0" applyNumberFormat="1" applyFont="1" applyFill="1" applyAlignment="1">
      <alignment horizontal="center" vertical="center"/>
    </xf>
    <xf numFmtId="0" fontId="1" fillId="5" borderId="14" xfId="0" applyFont="1" applyFill="1" applyBorder="1" applyAlignment="1">
      <alignment horizontal="right" vertical="center"/>
    </xf>
    <xf numFmtId="0" fontId="23" fillId="0" borderId="0" xfId="0" applyFont="1" applyBorder="1"/>
    <xf numFmtId="0" fontId="4" fillId="0" borderId="0" xfId="0" applyFont="1" applyBorder="1"/>
    <xf numFmtId="164" fontId="4" fillId="0" borderId="0" xfId="0" applyNumberFormat="1" applyFont="1" applyBorder="1"/>
    <xf numFmtId="0" fontId="4" fillId="0" borderId="20" xfId="0" applyFont="1" applyBorder="1"/>
    <xf numFmtId="0" fontId="0" fillId="0" borderId="19" xfId="0" applyNumberFormat="1" applyBorder="1"/>
    <xf numFmtId="0" fontId="1" fillId="5" borderId="14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right" vertical="center"/>
    </xf>
    <xf numFmtId="0" fontId="10" fillId="0" borderId="12" xfId="0" applyFont="1" applyBorder="1" applyAlignment="1">
      <alignment vertical="center"/>
    </xf>
    <xf numFmtId="165" fontId="9" fillId="0" borderId="12" xfId="0" applyNumberFormat="1" applyFont="1" applyFill="1" applyBorder="1" applyAlignment="1">
      <alignment horizontal="center" vertical="center"/>
    </xf>
    <xf numFmtId="0" fontId="13" fillId="0" borderId="12" xfId="0" applyFont="1" applyBorder="1" applyAlignment="1">
      <alignment vertical="center"/>
    </xf>
    <xf numFmtId="0" fontId="17" fillId="0" borderId="12" xfId="0" applyFont="1" applyBorder="1" applyAlignment="1">
      <alignment horizontal="right"/>
    </xf>
    <xf numFmtId="0" fontId="17" fillId="0" borderId="12" xfId="0" applyFont="1" applyBorder="1" applyAlignment="1">
      <alignment horizontal="right" wrapText="1"/>
    </xf>
    <xf numFmtId="0" fontId="9" fillId="2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vertical="center"/>
    </xf>
    <xf numFmtId="0" fontId="9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right" vertical="center"/>
    </xf>
    <xf numFmtId="0" fontId="8" fillId="0" borderId="12" xfId="0" applyFont="1" applyBorder="1" applyAlignment="1">
      <alignment horizontal="right"/>
    </xf>
    <xf numFmtId="166" fontId="9" fillId="0" borderId="12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/>
    </xf>
    <xf numFmtId="0" fontId="25" fillId="2" borderId="12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0" fontId="25" fillId="0" borderId="12" xfId="0" applyFont="1" applyFill="1" applyBorder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13" fillId="5" borderId="12" xfId="0" applyFont="1" applyFill="1" applyBorder="1" applyAlignment="1">
      <alignment horizontal="right" vertical="center"/>
    </xf>
    <xf numFmtId="164" fontId="13" fillId="5" borderId="12" xfId="0" applyNumberFormat="1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vertical="center"/>
    </xf>
    <xf numFmtId="0" fontId="6" fillId="3" borderId="12" xfId="0" applyFont="1" applyFill="1" applyBorder="1" applyAlignment="1">
      <alignment horizontal="right" vertical="center"/>
    </xf>
    <xf numFmtId="0" fontId="6" fillId="3" borderId="12" xfId="0" applyFont="1" applyFill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0" fontId="13" fillId="5" borderId="12" xfId="0" applyFont="1" applyFill="1" applyBorder="1" applyAlignment="1">
      <alignment horizontal="right"/>
    </xf>
    <xf numFmtId="0" fontId="13" fillId="4" borderId="12" xfId="0" applyFont="1" applyFill="1" applyBorder="1" applyAlignment="1">
      <alignment vertical="center"/>
    </xf>
    <xf numFmtId="0" fontId="0" fillId="0" borderId="0" xfId="0" applyFont="1"/>
    <xf numFmtId="0" fontId="28" fillId="0" borderId="0" xfId="0" applyFont="1" applyAlignment="1">
      <alignment vertical="top"/>
    </xf>
    <xf numFmtId="0" fontId="28" fillId="0" borderId="18" xfId="0" applyFont="1" applyBorder="1" applyAlignment="1">
      <alignment vertical="top"/>
    </xf>
    <xf numFmtId="0" fontId="25" fillId="5" borderId="12" xfId="0" applyFont="1" applyFill="1" applyBorder="1" applyAlignment="1">
      <alignment horizontal="center" vertical="center"/>
    </xf>
    <xf numFmtId="0" fontId="0" fillId="0" borderId="12" xfId="0" applyBorder="1"/>
    <xf numFmtId="0" fontId="24" fillId="0" borderId="0" xfId="0" applyFont="1" applyAlignment="1">
      <alignment horizontal="center" vertical="center"/>
    </xf>
    <xf numFmtId="0" fontId="29" fillId="0" borderId="10" xfId="1" applyFont="1" applyBorder="1" applyAlignment="1">
      <alignment horizontal="left" vertical="center" wrapText="1"/>
    </xf>
    <xf numFmtId="0" fontId="26" fillId="3" borderId="12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/>
    </xf>
    <xf numFmtId="0" fontId="26" fillId="3" borderId="2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/>
    </xf>
    <xf numFmtId="0" fontId="34" fillId="4" borderId="3" xfId="0" applyFont="1" applyFill="1" applyBorder="1" applyAlignment="1">
      <alignment horizontal="center" vertical="center"/>
    </xf>
    <xf numFmtId="0" fontId="35" fillId="0" borderId="0" xfId="0" applyFont="1" applyAlignment="1"/>
    <xf numFmtId="0" fontId="36" fillId="3" borderId="0" xfId="0" applyFont="1" applyFill="1"/>
    <xf numFmtId="0" fontId="36" fillId="3" borderId="0" xfId="0" applyFont="1" applyFill="1" applyAlignment="1">
      <alignment vertical="center"/>
    </xf>
    <xf numFmtId="0" fontId="30" fillId="0" borderId="12" xfId="0" applyFont="1" applyBorder="1" applyAlignment="1">
      <alignment horizontal="right" vertical="top"/>
    </xf>
    <xf numFmtId="0" fontId="30" fillId="0" borderId="1" xfId="0" applyFont="1" applyBorder="1" applyAlignment="1">
      <alignment horizontal="right" vertical="top"/>
    </xf>
    <xf numFmtId="0" fontId="29" fillId="0" borderId="10" xfId="1" applyFont="1" applyBorder="1" applyAlignment="1">
      <alignment horizontal="left" vertical="center" wrapText="1"/>
    </xf>
    <xf numFmtId="0" fontId="27" fillId="0" borderId="0" xfId="0" applyFont="1" applyAlignment="1">
      <alignment horizontal="center"/>
    </xf>
    <xf numFmtId="0" fontId="28" fillId="0" borderId="12" xfId="0" applyFont="1" applyBorder="1" applyAlignment="1">
      <alignment horizontal="left" wrapText="1"/>
    </xf>
    <xf numFmtId="0" fontId="30" fillId="0" borderId="1" xfId="0" applyFont="1" applyBorder="1" applyAlignment="1">
      <alignment horizontal="center" vertical="top"/>
    </xf>
    <xf numFmtId="0" fontId="30" fillId="0" borderId="2" xfId="0" applyFont="1" applyBorder="1" applyAlignment="1">
      <alignment horizontal="center" vertical="top"/>
    </xf>
    <xf numFmtId="0" fontId="30" fillId="0" borderId="3" xfId="0" applyFont="1" applyBorder="1" applyAlignment="1">
      <alignment horizontal="center" vertical="top"/>
    </xf>
    <xf numFmtId="0" fontId="28" fillId="0" borderId="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/>
    </xf>
    <xf numFmtId="0" fontId="31" fillId="0" borderId="29" xfId="0" applyFont="1" applyBorder="1" applyAlignment="1">
      <alignment horizontal="center"/>
    </xf>
    <xf numFmtId="164" fontId="32" fillId="0" borderId="12" xfId="0" applyNumberFormat="1" applyFont="1" applyBorder="1" applyAlignment="1">
      <alignment horizontal="center"/>
    </xf>
    <xf numFmtId="164" fontId="32" fillId="0" borderId="30" xfId="0" applyNumberFormat="1" applyFont="1" applyBorder="1" applyAlignment="1">
      <alignment horizontal="center"/>
    </xf>
    <xf numFmtId="0" fontId="33" fillId="4" borderId="28" xfId="0" applyFont="1" applyFill="1" applyBorder="1" applyAlignment="1">
      <alignment horizontal="center"/>
    </xf>
    <xf numFmtId="0" fontId="33" fillId="4" borderId="31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31" fillId="0" borderId="24" xfId="0" applyFont="1" applyBorder="1" applyAlignment="1">
      <alignment horizontal="center"/>
    </xf>
    <xf numFmtId="164" fontId="32" fillId="0" borderId="25" xfId="0" applyNumberFormat="1" applyFont="1" applyBorder="1" applyAlignment="1">
      <alignment horizontal="center"/>
    </xf>
    <xf numFmtId="0" fontId="33" fillId="4" borderId="26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DC800"/>
      <color rgb="FFFFFF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998104</xdr:colOff>
      <xdr:row>9</xdr:row>
      <xdr:rowOff>10803</xdr:rowOff>
    </xdr:from>
    <xdr:to>
      <xdr:col>7</xdr:col>
      <xdr:colOff>1315754</xdr:colOff>
      <xdr:row>16</xdr:row>
      <xdr:rowOff>252531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0300" y="2486058"/>
          <a:ext cx="3879594" cy="2444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legram.me/hoseinzadehas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hoseinzadeh.net/" TargetMode="External"/><Relationship Id="rId1" Type="http://schemas.openxmlformats.org/officeDocument/2006/relationships/hyperlink" Target="https://www.instagram.com/masoud_hoseinzadeh_as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instagram.com/masoud_hoseinzadeh_asl" TargetMode="External"/><Relationship Id="rId4" Type="http://schemas.openxmlformats.org/officeDocument/2006/relationships/hyperlink" Target="https://telegram.me/hoseinzadehas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23"/>
  <sheetViews>
    <sheetView tabSelected="1" topLeftCell="A6" zoomScale="70" zoomScaleNormal="70" workbookViewId="0">
      <selection activeCell="B18" sqref="B18"/>
    </sheetView>
  </sheetViews>
  <sheetFormatPr defaultRowHeight="14.4" x14ac:dyDescent="0.3"/>
  <cols>
    <col min="1" max="1" width="80.6640625" customWidth="1"/>
    <col min="2" max="2" width="16" style="11" bestFit="1" customWidth="1"/>
    <col min="3" max="3" width="12.88671875" style="10" customWidth="1"/>
    <col min="4" max="4" width="6.21875" style="1" customWidth="1"/>
    <col min="5" max="5" width="21.109375" customWidth="1"/>
    <col min="6" max="6" width="15.44140625" customWidth="1"/>
    <col min="7" max="7" width="13" customWidth="1"/>
    <col min="8" max="8" width="27.5546875" customWidth="1"/>
    <col min="9" max="9" width="27.6640625" customWidth="1"/>
    <col min="10" max="10" width="15.33203125" bestFit="1" customWidth="1"/>
    <col min="11" max="11" width="13" bestFit="1" customWidth="1"/>
    <col min="12" max="12" width="29" customWidth="1"/>
    <col min="13" max="13" width="25.77734375" customWidth="1"/>
    <col min="14" max="14" width="15.88671875" bestFit="1" customWidth="1"/>
    <col min="15" max="15" width="14.21875" customWidth="1"/>
    <col min="16" max="16" width="41.109375" customWidth="1"/>
    <col min="17" max="17" width="47.88671875" customWidth="1"/>
    <col min="18" max="18" width="34.5546875" customWidth="1"/>
    <col min="19" max="19" width="19.6640625" customWidth="1"/>
    <col min="20" max="20" width="34" customWidth="1"/>
    <col min="21" max="21" width="50.5546875" bestFit="1" customWidth="1"/>
    <col min="22" max="22" width="17.88671875" customWidth="1"/>
    <col min="23" max="23" width="27.6640625" bestFit="1" customWidth="1"/>
    <col min="24" max="24" width="13.44140625" bestFit="1" customWidth="1"/>
    <col min="25" max="25" width="50.5546875" bestFit="1" customWidth="1"/>
    <col min="26" max="26" width="12.21875" bestFit="1" customWidth="1"/>
    <col min="27" max="27" width="14.77734375" bestFit="1" customWidth="1"/>
    <col min="28" max="28" width="13.44140625" bestFit="1" customWidth="1"/>
    <col min="29" max="29" width="50.5546875" bestFit="1" customWidth="1"/>
    <col min="30" max="30" width="14.109375" bestFit="1" customWidth="1"/>
    <col min="31" max="31" width="12.21875" bestFit="1" customWidth="1"/>
    <col min="32" max="32" width="13.44140625" bestFit="1" customWidth="1"/>
    <col min="33" max="33" width="50.5546875" bestFit="1" customWidth="1"/>
    <col min="34" max="34" width="14.109375" bestFit="1" customWidth="1"/>
    <col min="35" max="35" width="12.21875" bestFit="1" customWidth="1"/>
    <col min="36" max="36" width="13.21875" customWidth="1"/>
  </cols>
  <sheetData>
    <row r="1" spans="1:32" ht="20.85" customHeight="1" x14ac:dyDescent="0.4">
      <c r="A1" s="114" t="s">
        <v>36</v>
      </c>
      <c r="B1" s="114"/>
      <c r="C1" s="114"/>
      <c r="E1" s="115" t="s">
        <v>131</v>
      </c>
      <c r="F1" s="115"/>
      <c r="G1" s="115"/>
      <c r="H1" s="115"/>
    </row>
    <row r="2" spans="1:32" ht="20.25" customHeight="1" x14ac:dyDescent="0.4">
      <c r="A2" s="114" t="s">
        <v>135</v>
      </c>
      <c r="B2" s="114"/>
      <c r="C2" s="114"/>
      <c r="E2" s="116" t="s">
        <v>132</v>
      </c>
      <c r="F2" s="116"/>
      <c r="G2" s="116"/>
      <c r="H2" s="116"/>
    </row>
    <row r="3" spans="1:32" ht="20.100000000000001" customHeight="1" x14ac:dyDescent="0.3">
      <c r="A3" s="114" t="s">
        <v>136</v>
      </c>
      <c r="B3" s="114"/>
      <c r="C3" s="114"/>
      <c r="D3" s="109"/>
      <c r="E3" s="120" t="s">
        <v>133</v>
      </c>
      <c r="F3" s="121"/>
      <c r="G3" s="121"/>
      <c r="H3" s="122"/>
      <c r="L3" s="19"/>
    </row>
    <row r="4" spans="1:32" ht="20.100000000000001" customHeight="1" x14ac:dyDescent="0.3">
      <c r="A4" s="102"/>
      <c r="B4" s="102"/>
      <c r="C4" s="102"/>
      <c r="D4" s="109"/>
      <c r="E4" s="123"/>
      <c r="F4" s="124"/>
      <c r="G4" s="124"/>
      <c r="H4" s="125"/>
      <c r="L4" s="19"/>
    </row>
    <row r="5" spans="1:32" ht="20.100000000000001" customHeight="1" x14ac:dyDescent="0.3">
      <c r="A5" s="102"/>
      <c r="B5" s="102"/>
      <c r="C5" s="102"/>
      <c r="D5" s="109"/>
      <c r="E5" s="117" t="s">
        <v>137</v>
      </c>
      <c r="F5" s="118"/>
      <c r="G5" s="118"/>
      <c r="H5" s="119"/>
      <c r="L5" s="19"/>
    </row>
    <row r="6" spans="1:32" ht="20.100000000000001" customHeight="1" thickBot="1" x14ac:dyDescent="0.35">
      <c r="A6" s="102"/>
      <c r="B6" s="102"/>
      <c r="C6" s="102"/>
      <c r="D6" s="109"/>
      <c r="E6" s="112" t="s">
        <v>134</v>
      </c>
      <c r="F6" s="112"/>
      <c r="G6" s="112"/>
      <c r="H6" s="113"/>
      <c r="L6" s="19"/>
    </row>
    <row r="7" spans="1:32" ht="24.75" customHeight="1" thickBot="1" x14ac:dyDescent="0.35">
      <c r="A7" s="69" t="s">
        <v>2</v>
      </c>
      <c r="B7" s="75">
        <v>25</v>
      </c>
      <c r="C7" s="72" t="s">
        <v>15</v>
      </c>
      <c r="D7" s="57"/>
      <c r="I7" s="135" t="s">
        <v>52</v>
      </c>
      <c r="J7" s="135"/>
      <c r="K7" s="135"/>
      <c r="L7" s="135"/>
      <c r="M7" s="133" t="s">
        <v>61</v>
      </c>
      <c r="N7" s="133"/>
      <c r="O7" s="133"/>
      <c r="P7" s="134"/>
      <c r="Q7" s="132" t="s">
        <v>84</v>
      </c>
      <c r="R7" s="133"/>
      <c r="S7" s="133"/>
      <c r="T7" s="134"/>
      <c r="U7" s="132" t="s">
        <v>99</v>
      </c>
      <c r="V7" s="133"/>
      <c r="W7" s="133"/>
      <c r="X7" s="134"/>
      <c r="Y7" s="132" t="s">
        <v>85</v>
      </c>
      <c r="Z7" s="133"/>
      <c r="AA7" s="133"/>
      <c r="AB7" s="134"/>
      <c r="AC7" s="132" t="s">
        <v>93</v>
      </c>
      <c r="AD7" s="133"/>
      <c r="AE7" s="133"/>
      <c r="AF7" s="134"/>
    </row>
    <row r="8" spans="1:32" ht="24.75" customHeight="1" x14ac:dyDescent="0.4">
      <c r="A8" s="69" t="s">
        <v>37</v>
      </c>
      <c r="B8" s="75">
        <v>400</v>
      </c>
      <c r="C8" s="72" t="s">
        <v>15</v>
      </c>
      <c r="D8" s="57"/>
      <c r="I8" s="100" t="s">
        <v>56</v>
      </c>
      <c r="J8" s="100">
        <f>4700*B7^0.5</f>
        <v>23500</v>
      </c>
      <c r="K8" s="100"/>
      <c r="L8" s="100"/>
      <c r="M8" s="24" t="s">
        <v>56</v>
      </c>
      <c r="N8" s="24">
        <f>J8</f>
        <v>23500</v>
      </c>
      <c r="O8" s="24"/>
      <c r="P8" s="25"/>
      <c r="Q8" s="33" t="s">
        <v>92</v>
      </c>
      <c r="R8" s="27">
        <f>B76</f>
        <v>5.62E-4</v>
      </c>
      <c r="S8" s="27"/>
      <c r="T8" s="28"/>
      <c r="U8" s="33" t="s">
        <v>92</v>
      </c>
      <c r="V8" s="27">
        <f>B76</f>
        <v>5.62E-4</v>
      </c>
      <c r="W8" s="27"/>
      <c r="X8" s="28"/>
      <c r="Y8" s="33" t="s">
        <v>92</v>
      </c>
      <c r="Z8" s="27">
        <f>B78</f>
        <v>7.7999999999999999E-4</v>
      </c>
      <c r="AB8" s="28"/>
      <c r="AC8" s="33" t="s">
        <v>92</v>
      </c>
      <c r="AD8" s="27">
        <f>Z8</f>
        <v>7.7999999999999999E-4</v>
      </c>
      <c r="AE8" s="27"/>
      <c r="AF8" s="28"/>
    </row>
    <row r="9" spans="1:32" ht="24.75" customHeight="1" x14ac:dyDescent="0.4">
      <c r="A9" s="69" t="s">
        <v>38</v>
      </c>
      <c r="B9" s="75">
        <v>300</v>
      </c>
      <c r="C9" s="72" t="s">
        <v>15</v>
      </c>
      <c r="D9" s="57"/>
      <c r="I9" s="100" t="s">
        <v>57</v>
      </c>
      <c r="J9" s="100">
        <f>200000/J8</f>
        <v>8.5106382978723403</v>
      </c>
      <c r="K9" s="100"/>
      <c r="L9" s="100"/>
      <c r="M9" s="27" t="s">
        <v>57</v>
      </c>
      <c r="N9" s="27">
        <f>J9</f>
        <v>8.5106382978723403</v>
      </c>
      <c r="O9" s="27"/>
      <c r="P9" s="28"/>
      <c r="Q9" s="33" t="s">
        <v>78</v>
      </c>
      <c r="R9" s="27">
        <f>B77</f>
        <v>1.4</v>
      </c>
      <c r="T9" s="28"/>
      <c r="U9" s="33" t="s">
        <v>78</v>
      </c>
      <c r="V9" s="27">
        <f>R9</f>
        <v>1.4</v>
      </c>
      <c r="X9" s="28"/>
      <c r="Y9" s="33" t="s">
        <v>78</v>
      </c>
      <c r="Z9" s="27">
        <f>B79</f>
        <v>2.35</v>
      </c>
      <c r="AA9" s="27"/>
      <c r="AB9" s="28"/>
      <c r="AC9" s="33" t="s">
        <v>78</v>
      </c>
      <c r="AD9" s="27">
        <f>Z9</f>
        <v>2.35</v>
      </c>
      <c r="AF9" s="28"/>
    </row>
    <row r="10" spans="1:32" ht="24.75" customHeight="1" x14ac:dyDescent="0.4">
      <c r="A10" s="69" t="s">
        <v>39</v>
      </c>
      <c r="B10" s="75">
        <v>6.5</v>
      </c>
      <c r="C10" s="72" t="s">
        <v>1</v>
      </c>
      <c r="D10" s="57"/>
      <c r="I10" s="100" t="s">
        <v>59</v>
      </c>
      <c r="J10" s="100">
        <f>D16*B11</f>
        <v>60000</v>
      </c>
      <c r="K10" s="100">
        <f>B11/2</f>
        <v>150</v>
      </c>
      <c r="L10" s="100">
        <f>D16*B11^3/12</f>
        <v>450000000</v>
      </c>
      <c r="M10" s="27" t="s">
        <v>63</v>
      </c>
      <c r="N10" s="27">
        <f>N9*B46</f>
        <v>6844.6614410126558</v>
      </c>
      <c r="O10" s="27"/>
      <c r="P10" s="28"/>
      <c r="Q10" s="35" t="s">
        <v>79</v>
      </c>
      <c r="R10" s="27">
        <f>B80</f>
        <v>0.8</v>
      </c>
      <c r="S10" s="27"/>
      <c r="T10" s="28"/>
      <c r="U10" s="35" t="s">
        <v>79</v>
      </c>
      <c r="V10" s="27">
        <f>R10</f>
        <v>0.8</v>
      </c>
      <c r="W10" s="27"/>
      <c r="X10" s="28"/>
      <c r="Y10" s="35" t="s">
        <v>79</v>
      </c>
      <c r="Z10" s="27">
        <f>V10</f>
        <v>0.8</v>
      </c>
      <c r="AA10" s="27"/>
      <c r="AB10" s="28"/>
      <c r="AC10" s="35" t="s">
        <v>79</v>
      </c>
      <c r="AD10" s="27">
        <f>Z10</f>
        <v>0.8</v>
      </c>
      <c r="AE10" s="27"/>
      <c r="AF10" s="28"/>
    </row>
    <row r="11" spans="1:32" ht="24.75" customHeight="1" x14ac:dyDescent="0.4">
      <c r="A11" s="69" t="s">
        <v>17</v>
      </c>
      <c r="B11" s="75">
        <v>300</v>
      </c>
      <c r="C11" s="76" t="s">
        <v>3</v>
      </c>
      <c r="D11" s="54"/>
      <c r="F11" s="97"/>
      <c r="G11" s="97"/>
      <c r="H11" s="98"/>
      <c r="I11" s="26" t="s">
        <v>53</v>
      </c>
      <c r="J11" s="27">
        <f>(E16-D16)*B14</f>
        <v>25000</v>
      </c>
      <c r="K11" s="27">
        <f>B14/2</f>
        <v>25</v>
      </c>
      <c r="L11" s="28">
        <f>(E16-D16)*B14^3/12</f>
        <v>5208333.333333333</v>
      </c>
      <c r="M11" s="26" t="s">
        <v>55</v>
      </c>
      <c r="N11" s="27">
        <f>(N9-1)*B41</f>
        <v>2076.3922168321983</v>
      </c>
      <c r="O11" s="27"/>
      <c r="P11" s="28"/>
      <c r="Q11" s="36" t="s">
        <v>82</v>
      </c>
      <c r="R11" s="27">
        <f>J8</f>
        <v>23500</v>
      </c>
      <c r="S11" s="27"/>
      <c r="T11" s="28"/>
      <c r="U11" s="36" t="s">
        <v>82</v>
      </c>
      <c r="V11" s="27">
        <f>R11</f>
        <v>23500</v>
      </c>
      <c r="W11" s="27"/>
      <c r="X11" s="28"/>
      <c r="Y11" s="36" t="s">
        <v>82</v>
      </c>
      <c r="Z11" s="27">
        <f>J8</f>
        <v>23500</v>
      </c>
      <c r="AA11" s="27"/>
      <c r="AB11" s="28"/>
      <c r="AC11" s="36" t="s">
        <v>82</v>
      </c>
      <c r="AD11" s="27">
        <f>N8</f>
        <v>23500</v>
      </c>
      <c r="AE11" s="27"/>
      <c r="AF11" s="28"/>
    </row>
    <row r="12" spans="1:32" ht="24.75" customHeight="1" x14ac:dyDescent="0.4">
      <c r="A12" s="69" t="s">
        <v>21</v>
      </c>
      <c r="B12" s="77">
        <f>B11-B13</f>
        <v>270</v>
      </c>
      <c r="C12" s="76" t="s">
        <v>3</v>
      </c>
      <c r="E12" s="97"/>
      <c r="F12" s="97"/>
      <c r="G12" s="97"/>
      <c r="H12" s="98"/>
      <c r="I12" s="26" t="s">
        <v>54</v>
      </c>
      <c r="J12" s="27">
        <f>(J9-1)*B46</f>
        <v>6040.4137216936688</v>
      </c>
      <c r="K12" s="27">
        <f>B12</f>
        <v>270</v>
      </c>
      <c r="L12" s="28">
        <v>0</v>
      </c>
      <c r="M12" s="26" t="s">
        <v>62</v>
      </c>
      <c r="N12" s="27">
        <f>$E$16/N10</f>
        <v>0.10226948491647181</v>
      </c>
      <c r="O12" s="27" t="s">
        <v>24</v>
      </c>
      <c r="P12" s="28">
        <f>$D$16/N10</f>
        <v>2.921985283327766E-2</v>
      </c>
      <c r="Q12" s="36" t="s">
        <v>80</v>
      </c>
      <c r="R12" s="27">
        <f>R11/(1+R9*R10)</f>
        <v>11084.905660377359</v>
      </c>
      <c r="S12" s="27"/>
      <c r="T12" s="28"/>
      <c r="U12" s="36" t="s">
        <v>80</v>
      </c>
      <c r="V12" s="27">
        <f>R12</f>
        <v>11084.905660377359</v>
      </c>
      <c r="W12" s="27"/>
      <c r="X12" s="28"/>
      <c r="Y12" s="36" t="s">
        <v>80</v>
      </c>
      <c r="Z12" s="27">
        <f>Z11/(1+Z9*Z10)</f>
        <v>8159.7222222222226</v>
      </c>
      <c r="AA12" s="27"/>
      <c r="AB12" s="28"/>
      <c r="AC12" s="36" t="s">
        <v>80</v>
      </c>
      <c r="AD12" s="27">
        <f>AD11/(1+AD9*AD10)</f>
        <v>8159.7222222222226</v>
      </c>
      <c r="AE12" s="27"/>
      <c r="AF12" s="28"/>
    </row>
    <row r="13" spans="1:32" ht="24.75" customHeight="1" x14ac:dyDescent="0.4">
      <c r="A13" s="78" t="s">
        <v>27</v>
      </c>
      <c r="B13" s="77">
        <v>30</v>
      </c>
      <c r="C13" s="76" t="s">
        <v>3</v>
      </c>
      <c r="E13" s="2"/>
      <c r="I13" s="26" t="s">
        <v>55</v>
      </c>
      <c r="J13" s="27">
        <f>(J9-1)*B41</f>
        <v>2076.3922168321983</v>
      </c>
      <c r="K13" s="27">
        <f>B13</f>
        <v>30</v>
      </c>
      <c r="L13" s="28">
        <v>0</v>
      </c>
      <c r="M13" s="26" t="s">
        <v>26</v>
      </c>
      <c r="N13" s="27">
        <f>N11/N10</f>
        <v>0.30335937499999993</v>
      </c>
      <c r="O13" s="27" t="s">
        <v>25</v>
      </c>
      <c r="P13" s="28">
        <f>$B$14*($E$16-$D$16)/N10</f>
        <v>3.6524816041597075</v>
      </c>
      <c r="Q13" s="36" t="s">
        <v>81</v>
      </c>
      <c r="R13" s="27">
        <f>200000/R12</f>
        <v>18.042553191489361</v>
      </c>
      <c r="S13" s="27"/>
      <c r="T13" s="28"/>
      <c r="U13" s="36" t="s">
        <v>81</v>
      </c>
      <c r="V13" s="27">
        <f>200000/V12</f>
        <v>18.042553191489361</v>
      </c>
      <c r="W13" s="27"/>
      <c r="X13" s="28"/>
      <c r="Y13" s="36" t="s">
        <v>81</v>
      </c>
      <c r="Z13" s="27">
        <f>200000/Z12</f>
        <v>24.51063829787234</v>
      </c>
      <c r="AA13" s="27"/>
      <c r="AB13" s="28"/>
      <c r="AC13" s="36" t="s">
        <v>81</v>
      </c>
      <c r="AD13" s="27">
        <f>200000/AD12</f>
        <v>24.51063829787234</v>
      </c>
      <c r="AE13" s="27"/>
      <c r="AF13" s="28"/>
    </row>
    <row r="14" spans="1:32" ht="24.75" customHeight="1" x14ac:dyDescent="0.3">
      <c r="A14" s="69" t="s">
        <v>41</v>
      </c>
      <c r="B14" s="75">
        <v>50</v>
      </c>
      <c r="C14" s="76" t="s">
        <v>3</v>
      </c>
      <c r="D14" s="57"/>
      <c r="E14" s="2"/>
      <c r="I14" s="26" t="s">
        <v>60</v>
      </c>
      <c r="J14" s="27">
        <f>(J10*K10+J11*K11+J12*K12+J13*K13)/SUM(J10:J13)</f>
        <v>121.54845043583583</v>
      </c>
      <c r="K14" s="27"/>
      <c r="L14" s="28"/>
      <c r="M14" s="26" t="s">
        <v>60</v>
      </c>
      <c r="N14" s="27">
        <f>((2*$B$12*N12*(1+N13*$B$13/$B$12)+(1+N13)^2)^0.5-(1+N13))/N12</f>
        <v>62.22604943028518</v>
      </c>
      <c r="O14" s="27" t="s">
        <v>64</v>
      </c>
      <c r="P14" s="28">
        <f>((P12*(2*$B$12+$B$14*P13+2*N13*$B$13)+(P13+N13+1)^2)^0.5-(P13+N13+1))/P12</f>
        <v>63.030607248586051</v>
      </c>
      <c r="Q14" s="26" t="s">
        <v>59</v>
      </c>
      <c r="R14" s="27">
        <f t="shared" ref="R14:T15" si="0">J10</f>
        <v>60000</v>
      </c>
      <c r="S14" s="27">
        <f t="shared" si="0"/>
        <v>150</v>
      </c>
      <c r="T14" s="28">
        <f t="shared" si="0"/>
        <v>450000000</v>
      </c>
      <c r="U14" s="26" t="s">
        <v>59</v>
      </c>
      <c r="V14" s="27">
        <f t="shared" ref="V14:X15" si="1">R14</f>
        <v>60000</v>
      </c>
      <c r="W14" s="27">
        <f t="shared" si="1"/>
        <v>150</v>
      </c>
      <c r="X14" s="28">
        <f t="shared" si="1"/>
        <v>450000000</v>
      </c>
      <c r="Y14" s="26" t="s">
        <v>59</v>
      </c>
      <c r="Z14" s="27">
        <f t="shared" ref="Z14:AB15" si="2">J10</f>
        <v>60000</v>
      </c>
      <c r="AA14" s="27">
        <f t="shared" si="2"/>
        <v>150</v>
      </c>
      <c r="AB14" s="28">
        <f t="shared" si="2"/>
        <v>450000000</v>
      </c>
      <c r="AC14" s="26" t="s">
        <v>59</v>
      </c>
      <c r="AD14" s="27">
        <f t="shared" ref="AD14:AF15" si="3">Z14</f>
        <v>60000</v>
      </c>
      <c r="AE14" s="27">
        <f t="shared" si="3"/>
        <v>150</v>
      </c>
      <c r="AF14" s="28">
        <f t="shared" si="3"/>
        <v>450000000</v>
      </c>
    </row>
    <row r="15" spans="1:32" ht="24.75" customHeight="1" thickBot="1" x14ac:dyDescent="0.35">
      <c r="A15" s="69" t="s">
        <v>40</v>
      </c>
      <c r="B15" s="75">
        <v>500</v>
      </c>
      <c r="C15" s="72" t="s">
        <v>3</v>
      </c>
      <c r="D15" s="21"/>
      <c r="E15" s="21"/>
      <c r="F15" s="21"/>
      <c r="I15" s="29" t="s">
        <v>58</v>
      </c>
      <c r="J15" s="30">
        <f>L10+J10*(J14-K10)^2+L11+J11*(J14-K11)^2+J12*(J14-K12)^2+J13*(J14-K13)^2</f>
        <v>887338152.97837043</v>
      </c>
      <c r="K15" s="30"/>
      <c r="L15" s="31"/>
      <c r="M15" s="26" t="s">
        <v>58</v>
      </c>
      <c r="N15" s="27">
        <f>$E$16*N14^3/3+N10*($B$12-N14)^2+N11*(N14-$B$13)^2</f>
        <v>353860845.97107655</v>
      </c>
      <c r="O15" s="32" t="s">
        <v>58</v>
      </c>
      <c r="P15" s="28">
        <f>($E$16-$D$16)*$B$14^3/12+$D$16*P14^3/3+($E$16-$D$16)*$B$14*(P14-$B$14/2)^2+N10*($B$12-P14)^2+N11*(P14-$B$13)^2</f>
        <v>353526178.95849818</v>
      </c>
      <c r="Q15" s="26" t="s">
        <v>53</v>
      </c>
      <c r="R15" s="27">
        <f t="shared" si="0"/>
        <v>25000</v>
      </c>
      <c r="S15" s="27">
        <f t="shared" si="0"/>
        <v>25</v>
      </c>
      <c r="T15" s="28">
        <f t="shared" si="0"/>
        <v>5208333.333333333</v>
      </c>
      <c r="U15" s="26" t="s">
        <v>53</v>
      </c>
      <c r="V15" s="27">
        <f t="shared" si="1"/>
        <v>25000</v>
      </c>
      <c r="W15" s="27">
        <f t="shared" si="1"/>
        <v>25</v>
      </c>
      <c r="X15" s="28">
        <f t="shared" si="1"/>
        <v>5208333.333333333</v>
      </c>
      <c r="Y15" s="26" t="s">
        <v>53</v>
      </c>
      <c r="Z15" s="27">
        <f t="shared" si="2"/>
        <v>25000</v>
      </c>
      <c r="AA15" s="27">
        <f t="shared" si="2"/>
        <v>25</v>
      </c>
      <c r="AB15" s="28">
        <f t="shared" si="2"/>
        <v>5208333.333333333</v>
      </c>
      <c r="AC15" s="26" t="s">
        <v>53</v>
      </c>
      <c r="AD15" s="27">
        <f t="shared" si="3"/>
        <v>25000</v>
      </c>
      <c r="AE15" s="27">
        <f t="shared" si="3"/>
        <v>25</v>
      </c>
      <c r="AF15" s="28">
        <f t="shared" si="3"/>
        <v>5208333.333333333</v>
      </c>
    </row>
    <row r="16" spans="1:32" ht="24.75" customHeight="1" x14ac:dyDescent="0.4">
      <c r="A16" s="69" t="s">
        <v>47</v>
      </c>
      <c r="B16" s="75">
        <v>100</v>
      </c>
      <c r="C16" s="72" t="s">
        <v>3</v>
      </c>
      <c r="D16" s="21">
        <f>D17*B16</f>
        <v>200</v>
      </c>
      <c r="E16" s="54">
        <f>B15+D16</f>
        <v>700</v>
      </c>
      <c r="F16" s="21"/>
      <c r="I16" s="26" t="s">
        <v>67</v>
      </c>
      <c r="J16" s="27">
        <f>0.62*B7^0.5</f>
        <v>3.1</v>
      </c>
      <c r="K16" s="27"/>
      <c r="L16" s="28"/>
      <c r="M16" s="26"/>
      <c r="N16" s="27" t="s">
        <v>66</v>
      </c>
      <c r="O16" s="27">
        <f>IF(N14&lt;B14,N14,P14)</f>
        <v>63.030607248586051</v>
      </c>
      <c r="P16" s="28"/>
      <c r="Q16" s="37" t="s">
        <v>54</v>
      </c>
      <c r="R16" s="27">
        <f>(R13-1)*B46</f>
        <v>13706.434535627843</v>
      </c>
      <c r="S16" s="27">
        <f>K12</f>
        <v>270</v>
      </c>
      <c r="T16" s="28">
        <f>L12</f>
        <v>0</v>
      </c>
      <c r="U16" s="37" t="s">
        <v>83</v>
      </c>
      <c r="V16" s="27">
        <f>V13*B46</f>
        <v>14510.682254946829</v>
      </c>
      <c r="W16" s="27">
        <f>S16</f>
        <v>270</v>
      </c>
      <c r="X16" s="28">
        <f>T16</f>
        <v>0</v>
      </c>
      <c r="Y16" s="37" t="s">
        <v>54</v>
      </c>
      <c r="Z16" s="27">
        <f>(Z13-1)*B46</f>
        <v>18908.377230797461</v>
      </c>
      <c r="AA16" s="27">
        <f>K12</f>
        <v>270</v>
      </c>
      <c r="AB16" s="28">
        <f>L12</f>
        <v>0</v>
      </c>
      <c r="AC16" s="37" t="s">
        <v>83</v>
      </c>
      <c r="AD16" s="27">
        <f>AD13*B46</f>
        <v>19712.624950116449</v>
      </c>
      <c r="AE16" s="27">
        <f>AA16</f>
        <v>270</v>
      </c>
      <c r="AF16" s="28">
        <f>AB16</f>
        <v>0</v>
      </c>
    </row>
    <row r="17" spans="1:32" ht="24.75" customHeight="1" thickBot="1" x14ac:dyDescent="0.45">
      <c r="A17" s="78" t="s">
        <v>42</v>
      </c>
      <c r="B17" s="75" t="s">
        <v>149</v>
      </c>
      <c r="C17" s="70"/>
      <c r="D17" s="21">
        <f>IF(B17="s",1,2)</f>
        <v>2</v>
      </c>
      <c r="E17" s="21"/>
      <c r="F17" s="21"/>
      <c r="I17" s="29" t="s">
        <v>68</v>
      </c>
      <c r="J17" s="30">
        <f>J16*J15/(B11-J14)/10^6</f>
        <v>15.414538461286307</v>
      </c>
      <c r="K17" s="30" t="s">
        <v>7</v>
      </c>
      <c r="L17" s="31"/>
      <c r="M17" s="29"/>
      <c r="N17" s="30" t="s">
        <v>65</v>
      </c>
      <c r="O17" s="30">
        <f>IF(N14&lt;B14,N15,P15)</f>
        <v>353526178.95849818</v>
      </c>
      <c r="P17" s="31"/>
      <c r="Q17" s="37" t="s">
        <v>55</v>
      </c>
      <c r="R17" s="27">
        <f>(R13-1)*B41</f>
        <v>4711.5868716220702</v>
      </c>
      <c r="S17" s="27">
        <f>K13</f>
        <v>30</v>
      </c>
      <c r="T17" s="28">
        <f>L13</f>
        <v>0</v>
      </c>
      <c r="U17" s="37" t="s">
        <v>55</v>
      </c>
      <c r="V17" s="27">
        <f>R17</f>
        <v>4711.5868716220702</v>
      </c>
      <c r="W17" s="27">
        <f>S17</f>
        <v>30</v>
      </c>
      <c r="X17" s="28">
        <f>T17</f>
        <v>0</v>
      </c>
      <c r="Y17" s="37" t="s">
        <v>55</v>
      </c>
      <c r="Z17" s="27">
        <f>(Z13-1)*B41</f>
        <v>6499.754673086627</v>
      </c>
      <c r="AA17" s="27">
        <f>K13</f>
        <v>30</v>
      </c>
      <c r="AB17" s="28">
        <f>L13</f>
        <v>0</v>
      </c>
      <c r="AC17" s="37" t="s">
        <v>55</v>
      </c>
      <c r="AD17" s="27">
        <f>Z17</f>
        <v>6499.754673086627</v>
      </c>
      <c r="AE17" s="27">
        <f>AA17</f>
        <v>30</v>
      </c>
      <c r="AF17" s="28">
        <f>AB17</f>
        <v>0</v>
      </c>
    </row>
    <row r="18" spans="1:32" ht="24.75" customHeight="1" x14ac:dyDescent="0.4">
      <c r="A18" s="69" t="s">
        <v>18</v>
      </c>
      <c r="B18" s="75">
        <v>0</v>
      </c>
      <c r="C18" s="72" t="s">
        <v>0</v>
      </c>
      <c r="D18" s="21"/>
      <c r="E18" s="21"/>
      <c r="F18" s="21"/>
      <c r="I18" s="49" t="s">
        <v>69</v>
      </c>
      <c r="J18" s="61">
        <f>E16/1000*B24*B$10^2/8</f>
        <v>11.009425781250002</v>
      </c>
      <c r="K18" s="24" t="s">
        <v>7</v>
      </c>
      <c r="L18" s="25"/>
      <c r="Q18" s="37" t="s">
        <v>60</v>
      </c>
      <c r="R18" s="58">
        <f>(R14*S14+R15*S15+R16*S16+R17*S17)/SUM(R14:R17)</f>
        <v>130.21990507569404</v>
      </c>
      <c r="S18" s="27"/>
      <c r="T18" s="28"/>
      <c r="U18" s="26" t="s">
        <v>62</v>
      </c>
      <c r="V18" s="27">
        <f>$E$16/V16</f>
        <v>4.8240323073807462E-2</v>
      </c>
      <c r="W18" s="27" t="s">
        <v>24</v>
      </c>
      <c r="X18" s="28">
        <f>$D$16/V16</f>
        <v>1.3782949449659274E-2</v>
      </c>
      <c r="Y18" s="37" t="s">
        <v>60</v>
      </c>
      <c r="Z18" s="27">
        <f>(Z14*AA14+Z15*AA15+Z16*AA16+Z17*AA17)/SUM(Z14:Z17)</f>
        <v>135.18256522536862</v>
      </c>
      <c r="AA18" s="27"/>
      <c r="AB18" s="28"/>
      <c r="AC18" s="26" t="s">
        <v>62</v>
      </c>
      <c r="AD18" s="27">
        <f>$E$16/AD16</f>
        <v>3.5510237818219374E-2</v>
      </c>
      <c r="AE18" s="27" t="s">
        <v>24</v>
      </c>
      <c r="AF18" s="28">
        <f>$D$16/AD16</f>
        <v>1.0145782233776966E-2</v>
      </c>
    </row>
    <row r="19" spans="1:32" ht="24.75" customHeight="1" x14ac:dyDescent="0.4">
      <c r="A19" s="79" t="s">
        <v>120</v>
      </c>
      <c r="B19" s="75">
        <v>0</v>
      </c>
      <c r="C19" s="70" t="s">
        <v>0</v>
      </c>
      <c r="D19" s="21"/>
      <c r="E19" s="21"/>
      <c r="F19" s="21"/>
      <c r="I19" s="50" t="s">
        <v>146</v>
      </c>
      <c r="J19" s="27">
        <f>E16/1000*(B19+B20+B22/E16*1000)*B10^2/8</f>
        <v>39.081249999999997</v>
      </c>
      <c r="K19" s="27"/>
      <c r="L19" s="28"/>
      <c r="Q19" s="37" t="s">
        <v>58</v>
      </c>
      <c r="R19" s="58">
        <f>T14+R14*(R18-S14)^2+T15+R15*(R18-S15)^2+R16*(R18-S16)^2+R17*(R18-S17)^2</f>
        <v>1070590317.8341206</v>
      </c>
      <c r="S19" s="27"/>
      <c r="T19" s="28"/>
      <c r="U19" s="26" t="s">
        <v>26</v>
      </c>
      <c r="V19" s="27">
        <f>V17/V16</f>
        <v>0.32469781839622641</v>
      </c>
      <c r="W19" s="27" t="s">
        <v>25</v>
      </c>
      <c r="X19" s="28">
        <f>$B$14*($E$16-$D$16)/V16</f>
        <v>1.7228686812074094</v>
      </c>
      <c r="Y19" s="37" t="s">
        <v>58</v>
      </c>
      <c r="Z19" s="58">
        <f>AB14+Z14*(Z18-AA14)^2+AB15+Z15*(Z18-AA15)^2+Z16*(Z18-AA16)^2+Z17*(Z18-AA17)^2</f>
        <v>1187469623.7255692</v>
      </c>
      <c r="AA19" s="27"/>
      <c r="AB19" s="28"/>
      <c r="AC19" s="26" t="s">
        <v>26</v>
      </c>
      <c r="AD19" s="27">
        <f>AD17/AD16</f>
        <v>0.32972547743055552</v>
      </c>
      <c r="AE19" s="27" t="s">
        <v>25</v>
      </c>
      <c r="AF19" s="28">
        <f>$B$14*($E$16-$D$16)/AD16</f>
        <v>1.2682227792221206</v>
      </c>
    </row>
    <row r="20" spans="1:32" ht="24.75" customHeight="1" thickBot="1" x14ac:dyDescent="0.45">
      <c r="A20" s="79" t="s">
        <v>138</v>
      </c>
      <c r="B20" s="75">
        <v>2</v>
      </c>
      <c r="C20" s="72" t="s">
        <v>0</v>
      </c>
      <c r="I20" s="51" t="s">
        <v>71</v>
      </c>
      <c r="J20" s="30">
        <f>E16/1000*B18*B10^2/8</f>
        <v>0</v>
      </c>
      <c r="K20" s="30"/>
      <c r="L20" s="31"/>
      <c r="Q20" s="37" t="s">
        <v>86</v>
      </c>
      <c r="R20" s="58">
        <f>(R14*S14+R15*S15-B46*S16-B41*S17)/(R14+R15-B46-B41)</f>
        <v>112.00713295978471</v>
      </c>
      <c r="S20" s="38"/>
      <c r="T20" s="39"/>
      <c r="U20" s="26" t="s">
        <v>60</v>
      </c>
      <c r="V20" s="27">
        <f>((2*$B$12*V18*(1+V19*$B$13/$B$12)+(1+V19)^2)^0.5-(1+V19))/V18</f>
        <v>83.6786181415535</v>
      </c>
      <c r="W20" s="27" t="s">
        <v>64</v>
      </c>
      <c r="X20" s="28">
        <f>((X18*(2*$B$12+$B$14*X19+2*V19*$B$13)+(X19+V19+1)^2)^0.5-(X19+V19+1))/X18</f>
        <v>88.295417896025839</v>
      </c>
      <c r="Y20" s="37" t="s">
        <v>86</v>
      </c>
      <c r="Z20" s="58">
        <f>(Z14*AA14+Z15*AA15-B46*AA16-B41*AA17)/(Z14+Z15-B46-B41)</f>
        <v>112.00713295978471</v>
      </c>
      <c r="AA20" s="38"/>
      <c r="AB20" s="39"/>
      <c r="AC20" s="26" t="s">
        <v>60</v>
      </c>
      <c r="AD20" s="27">
        <f>((2*$B$12*AD18*(1+AD19*$B$13/$B$12)+(1+AD19)^2)^0.5-(1+AD19))/AD18</f>
        <v>93.573688698393198</v>
      </c>
      <c r="AE20" s="27" t="s">
        <v>64</v>
      </c>
      <c r="AF20" s="28">
        <f>((AF18*(2*$B$12+$B$14*AF19+2*AD19*$B$13)+(AF19+AD19+1)^2)^0.5-(AF19+AD19+1))/AF18</f>
        <v>100.297063373684</v>
      </c>
    </row>
    <row r="21" spans="1:32" ht="24.75" customHeight="1" thickBot="1" x14ac:dyDescent="0.45">
      <c r="A21" s="79" t="s">
        <v>142</v>
      </c>
      <c r="B21" s="75">
        <v>0</v>
      </c>
      <c r="C21" s="72" t="s">
        <v>12</v>
      </c>
      <c r="Q21" s="37" t="s">
        <v>88</v>
      </c>
      <c r="R21" s="58">
        <f>T14+R14*(R18-S14)^2+T15+R15*(R18-S15)^2-B46*(S16-R18)^2-B41*(S17-R18)^2</f>
        <v>736973625.44008303</v>
      </c>
      <c r="S21" s="27"/>
      <c r="T21" s="28"/>
      <c r="U21" s="26" t="s">
        <v>58</v>
      </c>
      <c r="V21" s="58">
        <f>$E$16*V20^3/3+V16*($B$12-V20)^2+V17*(V20-$B$13)^2</f>
        <v>654040107.46907091</v>
      </c>
      <c r="W21" s="32" t="s">
        <v>58</v>
      </c>
      <c r="X21" s="28">
        <f>($E$16-$D$16)*$B$14^3/12+$D$16*X20^3/3+($E$16-$D$16)*$B$14*(X20-$B$14/2)^2+V16*($B$12-X20)^2+V17*(X20-$B$13)^2</f>
        <v>646361018.47486174</v>
      </c>
      <c r="Y21" s="37" t="s">
        <v>88</v>
      </c>
      <c r="Z21" s="58">
        <f>AB14+Z14*(Z18-AA14)^2+AB15+Z15*(Z18-AA15)^2-B46*(AA16-Z18)^2-B41*(AA17-Z18)^2</f>
        <v>754210278.17297089</v>
      </c>
      <c r="AA21" s="27"/>
      <c r="AB21" s="28"/>
      <c r="AC21" s="26" t="s">
        <v>58</v>
      </c>
      <c r="AD21" s="27">
        <f>$E$16*AD20^3/3+AD16*($B$12-AD20)^2+AD17*(AD20-$B$13)^2</f>
        <v>831027512.63381124</v>
      </c>
      <c r="AE21" s="32" t="s">
        <v>58</v>
      </c>
      <c r="AF21" s="28">
        <f>($E$16-$D$16)*$B$14^3/12+$D$16*AF20^3/3+($E$16-$D$16)*$B$14*(AF20-$B$14/2)^2+AD16*($B$12-AF20)^2+AD17*(AF20-$B$13)^2</f>
        <v>814037371.20738006</v>
      </c>
    </row>
    <row r="22" spans="1:32" ht="24.75" customHeight="1" x14ac:dyDescent="0.4">
      <c r="A22" s="79" t="s">
        <v>143</v>
      </c>
      <c r="B22" s="75">
        <v>6</v>
      </c>
      <c r="C22" s="72" t="s">
        <v>5</v>
      </c>
      <c r="E22" s="139" t="s">
        <v>107</v>
      </c>
      <c r="F22" s="140">
        <f>B50</f>
        <v>0.9411766514522425</v>
      </c>
      <c r="G22" s="141" t="str">
        <f>IF(F22&lt;1, "OK","N.G.")</f>
        <v>OK</v>
      </c>
      <c r="Q22" s="37" t="s">
        <v>87</v>
      </c>
      <c r="R22" s="58">
        <f>R20-R18</f>
        <v>-18.212772115909331</v>
      </c>
      <c r="S22" s="38"/>
      <c r="T22" s="39"/>
      <c r="U22" s="37" t="s">
        <v>60</v>
      </c>
      <c r="V22" s="58">
        <f>IF(V20&lt;$B$14,V20,X20)</f>
        <v>88.295417896025839</v>
      </c>
      <c r="W22" s="27"/>
      <c r="X22" s="28"/>
      <c r="Y22" s="37" t="s">
        <v>87</v>
      </c>
      <c r="Z22" s="58">
        <f>Z20-Z18</f>
        <v>-23.175432265583908</v>
      </c>
      <c r="AA22" s="38"/>
      <c r="AB22" s="39"/>
      <c r="AC22" s="37" t="s">
        <v>60</v>
      </c>
      <c r="AD22" s="27">
        <f>IF(AD20&lt;$B$14,AD20,AF20)</f>
        <v>100.297063373684</v>
      </c>
      <c r="AE22" s="27"/>
      <c r="AF22" s="28"/>
    </row>
    <row r="23" spans="1:32" ht="24.75" customHeight="1" x14ac:dyDescent="0.4">
      <c r="A23" s="79" t="s">
        <v>125</v>
      </c>
      <c r="B23" s="75">
        <v>120</v>
      </c>
      <c r="C23" s="72" t="s">
        <v>3</v>
      </c>
      <c r="E23" s="126"/>
      <c r="F23" s="128"/>
      <c r="G23" s="130"/>
      <c r="Q23" s="37" t="s">
        <v>89</v>
      </c>
      <c r="R23" s="59">
        <f>R14+R15-B46-B41</f>
        <v>83919.292127165114</v>
      </c>
      <c r="S23" s="38"/>
      <c r="T23" s="39"/>
      <c r="U23" s="37" t="s">
        <v>58</v>
      </c>
      <c r="V23" s="58">
        <f>IF(V20&lt;$B$14,V21,X21)</f>
        <v>646361018.47486174</v>
      </c>
      <c r="W23" s="27"/>
      <c r="X23" s="28"/>
      <c r="Y23" s="37" t="s">
        <v>89</v>
      </c>
      <c r="Z23" s="59">
        <f>Z14+Z15-B46-B41</f>
        <v>83919.292127165114</v>
      </c>
      <c r="AA23" s="38"/>
      <c r="AB23" s="39"/>
      <c r="AC23" s="37" t="s">
        <v>58</v>
      </c>
      <c r="AD23" s="58">
        <f>IF(AD20&lt;$B$14,AD21,AF21)</f>
        <v>814037371.20738006</v>
      </c>
      <c r="AE23" s="27"/>
      <c r="AF23" s="28"/>
    </row>
    <row r="24" spans="1:32" ht="24.75" customHeight="1" x14ac:dyDescent="0.4">
      <c r="A24" s="79" t="s">
        <v>28</v>
      </c>
      <c r="B24" s="80">
        <f>((1000/(D16+B15))*(B11*D16+B14*B15)/10^6*2.5*9.81)</f>
        <v>2.9780357142857148</v>
      </c>
      <c r="C24" s="72" t="s">
        <v>0</v>
      </c>
      <c r="E24" s="126" t="s">
        <v>108</v>
      </c>
      <c r="F24" s="128">
        <f>B60</f>
        <v>0.81359801321037573</v>
      </c>
      <c r="G24" s="130" t="str">
        <f t="shared" ref="G24" si="4">IF(F24&lt;1, "OK","N.G.")</f>
        <v>OK</v>
      </c>
      <c r="Q24" s="37" t="s">
        <v>90</v>
      </c>
      <c r="R24" s="58">
        <f>R21/R23</f>
        <v>8781.9332928038457</v>
      </c>
      <c r="S24" s="38"/>
      <c r="T24" s="39"/>
      <c r="U24" s="37" t="s">
        <v>86</v>
      </c>
      <c r="V24" s="58">
        <f>IF(O16&lt;$B$14,(O16*E16*O16/2-B41*B13)/(O16*E16-B41),(O16*D16*O16/2+(E16-D16)*B14^2/2-B41*B13)/(O16*D16+(E16-D16)*B14-B41))</f>
        <v>27.163170122581807</v>
      </c>
      <c r="W24" s="38"/>
      <c r="X24" s="39"/>
      <c r="Y24" s="37" t="s">
        <v>90</v>
      </c>
      <c r="Z24" s="58">
        <f>Z21/Z23</f>
        <v>8987.3288853544691</v>
      </c>
      <c r="AA24" s="38"/>
      <c r="AB24" s="39"/>
      <c r="AC24" s="37" t="s">
        <v>86</v>
      </c>
      <c r="AD24" s="58">
        <f>IF(O16&lt;$B$14,(O16*E16*O16/2-B41*B13)/(O16*E16-B41),(O16*D16*O16/2+(E16-D16)*B14^2/2-B41*B13)/(O16*D16+(E16-D16)*B14-B41))</f>
        <v>27.163170122581807</v>
      </c>
      <c r="AE24" s="38"/>
      <c r="AF24" s="39"/>
    </row>
    <row r="25" spans="1:32" ht="24.75" customHeight="1" thickBot="1" x14ac:dyDescent="0.45">
      <c r="A25" s="69" t="s">
        <v>43</v>
      </c>
      <c r="B25" s="75">
        <v>0.21</v>
      </c>
      <c r="C25" s="72"/>
      <c r="E25" s="126"/>
      <c r="F25" s="128"/>
      <c r="G25" s="130"/>
      <c r="Q25" s="40" t="s">
        <v>91</v>
      </c>
      <c r="R25" s="60">
        <f>R21/R19</f>
        <v>0.68838061877024292</v>
      </c>
      <c r="S25" s="30"/>
      <c r="T25" s="31"/>
      <c r="U25" s="37" t="s">
        <v>88</v>
      </c>
      <c r="V25" s="58">
        <f>IF(O16&lt;$B$14,(E16*O16^3/12+E16*O16*(V22-O16/2)^2)-B41*(V22-B13)^2,D16*O16^3/12+D16*O16*(V22-O16/2)^2+(E16-D16)*B14^3/12+(E16-D16)*B14*(V22-B14/2)^2-B41*(V22-B13)^2)</f>
        <v>149241999.29378104</v>
      </c>
      <c r="W25" s="27"/>
      <c r="X25" s="28"/>
      <c r="Y25" s="40" t="s">
        <v>91</v>
      </c>
      <c r="Z25" s="30">
        <f>Z21/Z19</f>
        <v>0.63514069168919896</v>
      </c>
      <c r="AA25" s="30"/>
      <c r="AB25" s="31"/>
      <c r="AC25" s="37" t="s">
        <v>88</v>
      </c>
      <c r="AD25" s="58">
        <f>IF(O16&lt;$B$14,(E16*O16^3/12+E16*O16*(AD22-O16/2)^2)-B41*(AD22-B13)^2,D16*O16^3/12+D16*O16*(AD22-O16/2)^2+(E16-D16)*B14^3/12+(E16-D16)*B14*(AD22-B14/2)^2-B41*(AD22-B13)^2)</f>
        <v>209395561.42402717</v>
      </c>
      <c r="AE25" s="27"/>
      <c r="AF25" s="28"/>
    </row>
    <row r="26" spans="1:32" ht="24.75" customHeight="1" x14ac:dyDescent="0.4">
      <c r="A26" s="79" t="s">
        <v>144</v>
      </c>
      <c r="B26" s="71">
        <f>MAX(1.4*(B19+B20+B24),1.2*(B19+B20+B24)+1.6*(B18),1.2*(B19+B20+B24)+(B18)+B25*(B19+B20+B24))</f>
        <v>7.0190303571428583</v>
      </c>
      <c r="C26" s="72" t="s">
        <v>0</v>
      </c>
      <c r="E26" s="126" t="s">
        <v>109</v>
      </c>
      <c r="F26" s="128">
        <f>C89</f>
        <v>0.97159699554630075</v>
      </c>
      <c r="G26" s="130" t="str">
        <f>IF(F26&lt;1, "OK","N.G.")</f>
        <v>OK</v>
      </c>
      <c r="U26" s="37" t="s">
        <v>87</v>
      </c>
      <c r="V26" s="58">
        <f>V24-V22</f>
        <v>-61.132247773444035</v>
      </c>
      <c r="W26" s="38"/>
      <c r="X26" s="39"/>
      <c r="AC26" s="37" t="s">
        <v>87</v>
      </c>
      <c r="AD26" s="58">
        <f>AD24-AD22</f>
        <v>-73.133893251102194</v>
      </c>
      <c r="AE26" s="38"/>
      <c r="AF26" s="39"/>
    </row>
    <row r="27" spans="1:32" ht="24.75" customHeight="1" thickBot="1" x14ac:dyDescent="0.45">
      <c r="A27" s="79" t="s">
        <v>145</v>
      </c>
      <c r="B27" s="71">
        <f>MAX(1.4*(B19+B20+B24+B22/(D16+B15)*1000),1.2*(B19+B20+B24+B22/(D16+B15)*1000)+1.6*(B18),1.2*(B19+B20+B24+B22/(D16+B15)*1000)+(B18)+B25*(B19+B20+B24+B22/(D16+B15)*1000))*(D16+B15)/1000</f>
        <v>13.373321250000002</v>
      </c>
      <c r="C27" s="72" t="s">
        <v>5</v>
      </c>
      <c r="E27" s="127"/>
      <c r="F27" s="129"/>
      <c r="G27" s="131"/>
      <c r="U27" s="37" t="s">
        <v>89</v>
      </c>
      <c r="V27" s="59">
        <f>IF(O16&lt;$B$14,O16*E16-B41,O16*D16+B14*(E16-D16)-B41)</f>
        <v>37329.66129620131</v>
      </c>
      <c r="W27" s="38"/>
      <c r="X27" s="39"/>
      <c r="AC27" s="37" t="s">
        <v>89</v>
      </c>
      <c r="AD27" s="59">
        <f>IF(O16&lt;$B$14,O16*E16-B41,O16*D16+B14*(E16-D16)-B41)</f>
        <v>37329.66129620131</v>
      </c>
      <c r="AE27" s="38"/>
      <c r="AF27" s="39"/>
    </row>
    <row r="28" spans="1:32" ht="24.75" customHeight="1" x14ac:dyDescent="0.4">
      <c r="A28" s="69" t="s">
        <v>51</v>
      </c>
      <c r="B28" s="75">
        <v>0.3</v>
      </c>
      <c r="C28" s="70"/>
      <c r="E28" s="126" t="s">
        <v>110</v>
      </c>
      <c r="F28" s="128">
        <f>C92</f>
        <v>0.59576233241814414</v>
      </c>
      <c r="G28" s="130" t="str">
        <f>IF(F28&lt;1, "OK","N.G.")</f>
        <v>OK</v>
      </c>
      <c r="U28" s="37" t="s">
        <v>90</v>
      </c>
      <c r="V28" s="58">
        <f>V25/V27</f>
        <v>3997.9467831112629</v>
      </c>
      <c r="W28" s="38"/>
      <c r="X28" s="39"/>
      <c r="AC28" s="37" t="s">
        <v>90</v>
      </c>
      <c r="AD28" s="58">
        <f>AD25/AD27</f>
        <v>5609.3614073411218</v>
      </c>
      <c r="AE28" s="38"/>
      <c r="AF28" s="39"/>
    </row>
    <row r="29" spans="1:32" ht="24.75" customHeight="1" thickBot="1" x14ac:dyDescent="0.45">
      <c r="A29" s="69" t="s">
        <v>23</v>
      </c>
      <c r="B29" s="75">
        <v>0.25</v>
      </c>
      <c r="C29" s="70"/>
      <c r="E29" s="127"/>
      <c r="F29" s="129"/>
      <c r="G29" s="131"/>
      <c r="U29" s="40" t="s">
        <v>91</v>
      </c>
      <c r="V29" s="60">
        <f>V25/V23</f>
        <v>0.23089573013844331</v>
      </c>
      <c r="W29" s="30"/>
      <c r="X29" s="31"/>
      <c r="AC29" s="40" t="s">
        <v>91</v>
      </c>
      <c r="AD29" s="60">
        <f>AD25/AD23</f>
        <v>0.25723089483404393</v>
      </c>
      <c r="AE29" s="30"/>
      <c r="AF29" s="31"/>
    </row>
    <row r="30" spans="1:32" ht="24.75" customHeight="1" thickBot="1" x14ac:dyDescent="0.35">
      <c r="E30" s="126" t="s">
        <v>129</v>
      </c>
      <c r="F30" s="128">
        <f>B66</f>
        <v>0.4177994260204082</v>
      </c>
      <c r="G30" s="130" t="str">
        <f>IF(F30&lt;1, "OK","N.G.")</f>
        <v>OK</v>
      </c>
    </row>
    <row r="31" spans="1:32" ht="24.75" customHeight="1" thickBot="1" x14ac:dyDescent="0.35">
      <c r="A31" s="85" t="s">
        <v>122</v>
      </c>
      <c r="B31" s="63" t="s">
        <v>121</v>
      </c>
      <c r="C31" s="64"/>
      <c r="E31" s="127"/>
      <c r="F31" s="129"/>
      <c r="G31" s="131"/>
      <c r="I31" s="132" t="s">
        <v>100</v>
      </c>
      <c r="J31" s="133"/>
      <c r="K31" s="134"/>
      <c r="M31" s="136" t="str">
        <f>"CASE2: D+SD+"&amp;B$29&amp;"*Live    (without Creep)"</f>
        <v>CASE2: D+SD+0.25*Live    (without Creep)</v>
      </c>
      <c r="N31" s="137"/>
      <c r="O31" s="138"/>
      <c r="R31" s="44" t="str">
        <f>"CASE3: D+SD+"&amp;B$29&amp;"*Live  (5year Creep)"</f>
        <v>CASE3: D+SD+0.25*Live  (5year Creep)</v>
      </c>
      <c r="S31" s="45"/>
      <c r="T31" s="46"/>
      <c r="W31" s="136" t="str">
        <f>"CASE4: D+"&amp;B$28&amp;"(SD)    (3month Creep)"</f>
        <v>CASE4: D+0.3(SD)    (3month Creep)</v>
      </c>
      <c r="X31" s="137"/>
      <c r="Y31" s="138"/>
    </row>
    <row r="32" spans="1:32" ht="24.75" customHeight="1" x14ac:dyDescent="0.3">
      <c r="A32" s="4" t="s">
        <v>8</v>
      </c>
      <c r="B32" s="82" t="s">
        <v>147</v>
      </c>
      <c r="C32" s="82" t="s">
        <v>147</v>
      </c>
      <c r="E32" s="126" t="s">
        <v>130</v>
      </c>
      <c r="F32" s="128">
        <f>B71</f>
        <v>0</v>
      </c>
      <c r="G32" s="130" t="str">
        <f>IF(F32&lt;1, "OK","N.G.")</f>
        <v>OK</v>
      </c>
      <c r="I32" s="42" t="s">
        <v>77</v>
      </c>
      <c r="J32" s="27">
        <f>SUM(J18:J20)</f>
        <v>50.090675781249999</v>
      </c>
      <c r="K32" s="28" t="s">
        <v>7</v>
      </c>
      <c r="M32" s="56" t="str">
        <f>"Ma-(D+SD+"&amp;B$29&amp;"L)="</f>
        <v>Ma-(D+SD+0.25L)=</v>
      </c>
      <c r="N32" s="27">
        <f>J18+J19+B29*J20</f>
        <v>50.090675781249999</v>
      </c>
      <c r="O32" s="28" t="s">
        <v>7</v>
      </c>
      <c r="P32" s="32"/>
      <c r="R32" s="62" t="s">
        <v>77</v>
      </c>
      <c r="S32" s="41">
        <f>N32</f>
        <v>50.090675781249999</v>
      </c>
      <c r="T32" s="28" t="s">
        <v>7</v>
      </c>
      <c r="W32" s="20" t="str">
        <f>"Ma-(D+"&amp;B28&amp;"*(SD))="</f>
        <v>Ma-(D+0.3*(SD))=</v>
      </c>
      <c r="X32" s="41">
        <f>IF(J18+B28*J19&gt;0,J18+B28*J19,0.000001)</f>
        <v>22.73380078125</v>
      </c>
      <c r="Y32" s="28" t="s">
        <v>7</v>
      </c>
    </row>
    <row r="33" spans="1:27" ht="24.75" customHeight="1" thickBot="1" x14ac:dyDescent="0.45">
      <c r="A33" s="6" t="s">
        <v>48</v>
      </c>
      <c r="B33" s="75">
        <v>2</v>
      </c>
      <c r="C33" s="75">
        <v>0</v>
      </c>
      <c r="E33" s="127"/>
      <c r="F33" s="129"/>
      <c r="G33" s="131"/>
      <c r="I33" s="33" t="s">
        <v>72</v>
      </c>
      <c r="J33" s="27">
        <f>(1-(J17/J32)^2)</f>
        <v>0.90530059077791802</v>
      </c>
      <c r="K33" s="28"/>
      <c r="M33" s="33" t="s">
        <v>72</v>
      </c>
      <c r="N33" s="27">
        <f>MAX(0,1-(J17/N32)^2)</f>
        <v>0.90530059077791802</v>
      </c>
      <c r="O33" s="28"/>
      <c r="R33" s="33" t="s">
        <v>73</v>
      </c>
      <c r="S33" s="41">
        <f>MAX(0,1-0.5*($J17/S32)^2)</f>
        <v>0.95265029538895907</v>
      </c>
      <c r="T33" s="28"/>
      <c r="W33" s="33" t="s">
        <v>73</v>
      </c>
      <c r="X33" s="41">
        <f>MAX(0,1-0.5*($J17/X32)^2)</f>
        <v>0.77012753341055218</v>
      </c>
      <c r="Y33" s="28"/>
    </row>
    <row r="34" spans="1:27" ht="24.75" customHeight="1" x14ac:dyDescent="0.4">
      <c r="A34" s="7"/>
      <c r="B34" s="83">
        <f>IF(B32="f8",8,IF(B32="f10",10,IF(B32="f12",12,IF(B32="f14",14,IF(B32="f16",16,IF(B32="f18",18,IF(B32="f20",20)))))))</f>
        <v>16</v>
      </c>
      <c r="C34" s="83">
        <f>IF(C32="f8",8,IF(C32="f10",10,IF(C32="f12",12,IF(C32="f14",14,IF(C32="f16",16,IF(C32="f18",18,IF(C32="f20",20)))))))</f>
        <v>16</v>
      </c>
      <c r="E34" s="1"/>
      <c r="I34" s="33" t="s">
        <v>74</v>
      </c>
      <c r="J34" s="27">
        <f>(J32*10^6/J8/J15)</f>
        <v>2.4021486185357583E-6</v>
      </c>
      <c r="K34" s="28"/>
      <c r="M34" s="33" t="s">
        <v>74</v>
      </c>
      <c r="N34" s="27">
        <f>(N32*10^6/J8/J15)</f>
        <v>2.4021486185357583E-6</v>
      </c>
      <c r="O34" s="28"/>
      <c r="R34" s="33" t="s">
        <v>94</v>
      </c>
      <c r="S34" s="41">
        <f>(Z25*(Z9*(N34+N34*(Z18-J14)*Z22/Z24)-Z8*Z22/Z24))</f>
        <v>4.7368474505900602E-6</v>
      </c>
      <c r="T34" s="28"/>
      <c r="W34" s="33" t="s">
        <v>94</v>
      </c>
      <c r="X34" s="22">
        <f>R25*(R9*(N34*X32/N32+N34*X32/N32*(R18-J14)*R22/R24)-R8*R22/R24)</f>
        <v>1.8341138822628626E-6</v>
      </c>
      <c r="Y34" s="28"/>
    </row>
    <row r="35" spans="1:27" ht="24.75" customHeight="1" x14ac:dyDescent="0.4">
      <c r="A35" s="84" t="s">
        <v>30</v>
      </c>
      <c r="B35" s="67"/>
      <c r="C35" s="68"/>
      <c r="E35" s="1"/>
      <c r="I35" s="33" t="s">
        <v>75</v>
      </c>
      <c r="J35" s="27">
        <f>(J32*10^6/N8/O17)</f>
        <v>6.0293077152888621E-6</v>
      </c>
      <c r="K35" s="28"/>
      <c r="M35" s="33" t="s">
        <v>75</v>
      </c>
      <c r="N35" s="27">
        <f>N32*10^6/N8/O17</f>
        <v>6.0293077152888621E-6</v>
      </c>
      <c r="O35" s="28"/>
      <c r="R35" s="33" t="s">
        <v>95</v>
      </c>
      <c r="S35" s="41">
        <f>AD29*(AD9*(N35+N35*(AD22-O16)*AD26/AD28)-AD8*AD26/AD28)</f>
        <v>4.4897330198171657E-6</v>
      </c>
      <c r="T35" s="28"/>
      <c r="W35" s="33" t="s">
        <v>95</v>
      </c>
      <c r="X35" s="22">
        <f>V29*(V9*(N35*X32/N32+N35*X32/N32*(V22-O16)*V26/V28)-V8*V26/V28)</f>
        <v>2.5270346865198622E-6</v>
      </c>
      <c r="Y35" s="28"/>
    </row>
    <row r="36" spans="1:27" ht="24.75" customHeight="1" x14ac:dyDescent="0.4">
      <c r="A36" s="5" t="s">
        <v>8</v>
      </c>
      <c r="B36" s="82" t="s">
        <v>148</v>
      </c>
      <c r="C36" s="81" t="s">
        <v>3</v>
      </c>
      <c r="E36" s="1"/>
      <c r="I36" s="33" t="s">
        <v>76</v>
      </c>
      <c r="J36" s="27">
        <f>J33*J35+(1-J33)*J34</f>
        <v>5.6858178916718424E-6</v>
      </c>
      <c r="K36" s="28"/>
      <c r="M36" s="33" t="s">
        <v>76</v>
      </c>
      <c r="N36" s="27">
        <f>IF(N32&lt;J$17,(N32*10^6/J$8/J$15),N33*N35+(1-N33)*N34)</f>
        <v>5.6858178916718424E-6</v>
      </c>
      <c r="O36" s="28"/>
      <c r="R36" s="33" t="s">
        <v>96</v>
      </c>
      <c r="S36" s="41">
        <f>S34+N34</f>
        <v>7.1389960691258181E-6</v>
      </c>
      <c r="T36" s="28"/>
      <c r="W36" s="33" t="s">
        <v>96</v>
      </c>
      <c r="X36" s="22">
        <f>X34+N34*X32/N32</f>
        <v>2.9243361100330157E-6</v>
      </c>
      <c r="Y36" s="28"/>
    </row>
    <row r="37" spans="1:27" ht="24.75" customHeight="1" thickBot="1" x14ac:dyDescent="0.45">
      <c r="A37" s="15" t="s">
        <v>10</v>
      </c>
      <c r="B37" s="75">
        <v>200</v>
      </c>
      <c r="C37" s="81" t="s">
        <v>3</v>
      </c>
      <c r="E37" s="1"/>
      <c r="I37" s="34" t="str">
        <f>"delta (D+SD+L)="</f>
        <v>delta (D+SD+L)=</v>
      </c>
      <c r="J37" s="30">
        <f>5/48*J36*(B10*1000)^2</f>
        <v>25.023521450326598</v>
      </c>
      <c r="K37" s="31" t="s">
        <v>3</v>
      </c>
      <c r="M37" s="34" t="str">
        <f>"delta (D+SD+L)="</f>
        <v>delta (D+SD+L)=</v>
      </c>
      <c r="N37" s="30">
        <f>5/48*N36*(B10*1000)^2</f>
        <v>25.023521450326598</v>
      </c>
      <c r="O37" s="31" t="s">
        <v>3</v>
      </c>
      <c r="R37" s="33" t="s">
        <v>98</v>
      </c>
      <c r="S37" s="41">
        <f>S35+N35</f>
        <v>1.0519040735106029E-5</v>
      </c>
      <c r="T37" s="28"/>
      <c r="W37" s="33" t="s">
        <v>98</v>
      </c>
      <c r="X37" s="22">
        <f>X35+N35*X32/N32</f>
        <v>5.2634537567440744E-6</v>
      </c>
      <c r="Y37" s="28"/>
    </row>
    <row r="38" spans="1:27" ht="24.75" customHeight="1" x14ac:dyDescent="0.4">
      <c r="A38" s="10"/>
      <c r="B38" s="101">
        <f>IF(B36="f4.5",4.5,IF(B36="f5",5,IF(B36="f6",6,IF(B36="f6",6,IF(B36="f8",8,IF(B36="f10",10))))))</f>
        <v>4.5</v>
      </c>
      <c r="E38" s="1"/>
      <c r="R38" s="33" t="s">
        <v>97</v>
      </c>
      <c r="S38" s="41">
        <f>S33*S37+(1-S33)*S36</f>
        <v>1.0358996618599741E-5</v>
      </c>
      <c r="T38" s="28"/>
      <c r="W38" s="33" t="s">
        <v>97</v>
      </c>
      <c r="X38" s="22">
        <f>X33*X37+(1-X33)*X36</f>
        <v>4.7257550136516986E-6</v>
      </c>
      <c r="Y38" s="28"/>
    </row>
    <row r="39" spans="1:27" ht="24.75" customHeight="1" thickBot="1" x14ac:dyDescent="0.35">
      <c r="A39" s="14" t="s">
        <v>29</v>
      </c>
      <c r="B39" s="99" t="str">
        <f>"1 f"&amp;IF(B10&lt;=4,8,IF(B10&lt;=5.5,10,IF(B10&lt;=7,12,14)))</f>
        <v>1 f12</v>
      </c>
      <c r="C39" s="18">
        <f>IF(B10&lt;=4,8,IF(B10&lt;=5.5,10,IF(B10&lt;=7,12,14)))</f>
        <v>12</v>
      </c>
      <c r="E39" s="1"/>
      <c r="R39" s="48" t="str">
        <f>"delta (D+SD+L)="</f>
        <v>delta (D+SD+L)=</v>
      </c>
      <c r="S39" s="41">
        <f>5/48*S38*(B10*1000)^2</f>
        <v>45.590375743316578</v>
      </c>
      <c r="T39" s="28" t="s">
        <v>3</v>
      </c>
      <c r="W39" s="48" t="str">
        <f>"delta (D+SD+L)="</f>
        <v>delta (D+SD+L)=</v>
      </c>
      <c r="X39" s="41">
        <f>5/48*X38*(B10*1000)^2</f>
        <v>20.798244721540026</v>
      </c>
      <c r="Y39" s="28" t="s">
        <v>3</v>
      </c>
    </row>
    <row r="40" spans="1:27" ht="24.75" customHeight="1" x14ac:dyDescent="0.4">
      <c r="A40" s="14" t="s">
        <v>49</v>
      </c>
      <c r="B40" s="82" t="s">
        <v>139</v>
      </c>
      <c r="C40" s="83">
        <f>IF(B40="f6",6,IF(B40="f8",8,IF(B40="f10",10,IF(B40="f12",12,IF(B40="f14",14,IF(B40="f16",16,IF(B40="1f18",18)))))))</f>
        <v>8</v>
      </c>
      <c r="E40" s="1"/>
      <c r="F40" s="3"/>
      <c r="H40" s="47">
        <v>0.05</v>
      </c>
      <c r="I40" s="24" t="s">
        <v>101</v>
      </c>
      <c r="J40" s="53" t="s">
        <v>76</v>
      </c>
      <c r="K40" s="24"/>
      <c r="L40" s="25"/>
      <c r="M40" s="47">
        <v>0.05</v>
      </c>
      <c r="N40" s="24" t="s">
        <v>101</v>
      </c>
      <c r="O40" s="53" t="s">
        <v>76</v>
      </c>
      <c r="P40" s="24"/>
      <c r="Q40" s="25"/>
      <c r="R40" s="47">
        <v>0.05</v>
      </c>
      <c r="S40" s="24" t="s">
        <v>101</v>
      </c>
      <c r="T40" s="53" t="s">
        <v>76</v>
      </c>
      <c r="U40" s="24"/>
      <c r="V40" s="25"/>
      <c r="W40" s="47">
        <v>0.05</v>
      </c>
      <c r="X40" s="24" t="s">
        <v>101</v>
      </c>
      <c r="Y40" s="24"/>
      <c r="Z40" s="24"/>
      <c r="AA40" s="25"/>
    </row>
    <row r="41" spans="1:27" ht="24.75" customHeight="1" x14ac:dyDescent="0.4">
      <c r="A41" s="14" t="s">
        <v>102</v>
      </c>
      <c r="B41" s="77">
        <f>PI()/4*(C39^2*D17+C40^2)</f>
        <v>276.46015351590177</v>
      </c>
      <c r="C41" s="18" t="s">
        <v>16</v>
      </c>
      <c r="H41" s="43">
        <f>0+H$40*$B$10*1000</f>
        <v>325</v>
      </c>
      <c r="I41" s="27">
        <f t="shared" ref="I41:I50" si="5">J$32*4*((H41/$B$10/1000)-(H41/$B$10/1000)^2)</f>
        <v>9.5172283984374992</v>
      </c>
      <c r="J41" s="27">
        <f t="shared" ref="J41:J50" si="6">IF(I41&lt;J$17,(I41*10^6/J$8/J$15),(1-(J$17/I41)^2)*(I41*10^6/N$8/O$17)+(1-(1-(J$17/I41)^2))*(I41*10^6/J$8/J$15))</f>
        <v>4.5640823752179406E-7</v>
      </c>
      <c r="K41" s="27">
        <f>J41*H41/2</f>
        <v>7.4166338597291529E-5</v>
      </c>
      <c r="L41" s="28">
        <f>H50-H$41*2/3</f>
        <v>3033.3333333333335</v>
      </c>
      <c r="M41" s="43">
        <f>0+M$40*$B$10*1000</f>
        <v>325</v>
      </c>
      <c r="N41" s="27">
        <f>N$32*4*((M41/$B$10/1000)-(M41/$B$10/1000)^2)</f>
        <v>9.5172283984374992</v>
      </c>
      <c r="O41" s="27">
        <f t="shared" ref="O41:O50" si="7">IF(N41&lt;J$17,(N41*10^6/J$8/J$15),(1-(J$17/N41)^2)*(N41*10^6/N$8/O$17)+(1-(1-(J$17/N41)^2))*(N41*10^6/J$8/J$15))</f>
        <v>4.5640823752179406E-7</v>
      </c>
      <c r="P41" s="27">
        <f>O41*M41/2</f>
        <v>7.4166338597291529E-5</v>
      </c>
      <c r="Q41" s="28">
        <f>M50-M$41*2/3</f>
        <v>3033.3333333333335</v>
      </c>
      <c r="R41" s="43">
        <f>0+R$40*$B$10*1000</f>
        <v>325</v>
      </c>
      <c r="S41" s="27">
        <f t="shared" ref="S41:S50" si="8">S$32*4*((R41/$B$10/1000)-(R41/$B$10/1000)^2)</f>
        <v>9.5172283984374992</v>
      </c>
      <c r="T41" s="27">
        <f>MAX(0,1-0.5*($J$17/S41)^2)*(($AD$29*($AD$9*((S41*10^6/$N$8/$O$17)+(S41*10^6/$N$8/$O$17)*($AD$22-$O$16)*$AD$26/$AD$28)-$AD$8*$AD$26/$AD$28))+(S41*10^6/$N$8/$O$17))+(1-MAX(0,1-0.5*($J$17/S41)^2))*(($Z$25*($Z$9*((S41*10^6/$J$8/$J$15)+(S41*10^6/$J$8/$J$15)*($Z$18-$J$14)*$Z$22/$Z$24)-$Z$8*$Z$22/$Z$24))+(S41*10^6/$J$8/$J$15))</f>
        <v>2.3911862549296186E-6</v>
      </c>
      <c r="U41" s="27">
        <f>T41*R41/2</f>
        <v>3.88567766426063E-4</v>
      </c>
      <c r="V41" s="28">
        <f>R50-R$41*2/3</f>
        <v>3033.3333333333335</v>
      </c>
      <c r="W41" s="43">
        <f>0+W$40*$B$10*1000</f>
        <v>325</v>
      </c>
      <c r="X41" s="27">
        <f>X$32*4*((W41/$B$10/1000)-(W41/$B$10/1000)^2)</f>
        <v>4.3194221484374999</v>
      </c>
      <c r="Y41" s="27">
        <f>(MAX(0,1-0.5*($J$17/X41)^2))*(($V$29*($V$9*($N$35*X41/$N$32+$N$35*X41/$N$32*($V$22-$O$16)*$V$26/$V$28)-$V$8*$V$26/$V$28))+$N$35*X41/$N$32)+(1-(MAX(0,1-0.5*($J$17/X41)^2)))*(($R$25*($R$9*($N$34*X41/$N$32+$N$34*X41/$N$32*($R$18-$J$14)*$R$22/$R$24)-$R$8*$R$22/$R$24))+$N$34*X41/$N$32)</f>
        <v>1.20550792618681E-6</v>
      </c>
      <c r="Z41" s="27">
        <f>Y41*W41/2</f>
        <v>1.9589503800535664E-4</v>
      </c>
      <c r="AA41" s="28">
        <f>W50-W$41*2/3</f>
        <v>3033.3333333333335</v>
      </c>
    </row>
    <row r="42" spans="1:27" ht="24.75" customHeight="1" x14ac:dyDescent="0.4">
      <c r="A42" s="14" t="s">
        <v>50</v>
      </c>
      <c r="B42" s="86" t="str">
        <f>"2 f"&amp;MAX(10,ROUNDUP((B46/4/PI())^0.5,0)*2)</f>
        <v>2 f16</v>
      </c>
      <c r="C42" s="18"/>
      <c r="E42" s="1"/>
      <c r="H42" s="43">
        <f t="shared" ref="H42:H50" si="9">H41+H$40*$B$10*1000</f>
        <v>650</v>
      </c>
      <c r="I42" s="27">
        <f t="shared" si="5"/>
        <v>18.032643281249999</v>
      </c>
      <c r="J42" s="27">
        <f t="shared" si="6"/>
        <v>1.2164123785678256E-6</v>
      </c>
      <c r="K42" s="27">
        <f t="shared" ref="K42:K50" si="10">J41*(H42-H41)+(J42-J41)*(H42-H41)/2</f>
        <v>2.7183335011456318E-4</v>
      </c>
      <c r="L42" s="28">
        <f t="shared" ref="L42:L50" si="11">(J41*(H42-H41)*(H$50-(H41+H42)/2)+(J42-J41)*(H42-H41)/2*(H$50-(2*H42+H41)/3))/(J41*(H42-H41)+(J42-J41)*(H42-H41)/2)</f>
        <v>2737.890731930625</v>
      </c>
      <c r="M42" s="43">
        <f>M41+M$40*$B$10*1000</f>
        <v>650</v>
      </c>
      <c r="N42" s="27">
        <f>N$32*4*((M42/$B$10/1000)-(M42/$B$10/1000)^2)</f>
        <v>18.032643281249999</v>
      </c>
      <c r="O42" s="27">
        <f t="shared" si="7"/>
        <v>1.2164123785678256E-6</v>
      </c>
      <c r="P42" s="27">
        <f>O41*(M42-M41)+(O42-O41)*(M42-M41)/2</f>
        <v>2.7183335011456318E-4</v>
      </c>
      <c r="Q42" s="28">
        <f>(O41*(M42-M41)*(M$50-(M41+M42)/2)+(O42-O41)*(M42-M41)/2*(M$50-(2*M42+M41)/3))/(O41*(M42-M41)+(O42-O41)*(M42-M41)/2)</f>
        <v>2737.890731930625</v>
      </c>
      <c r="R42" s="43">
        <f>R41+R$40*$B$10*1000</f>
        <v>650</v>
      </c>
      <c r="S42" s="27">
        <f t="shared" si="8"/>
        <v>18.032643281249999</v>
      </c>
      <c r="T42" s="27">
        <f t="shared" ref="T42:T50" si="12">MAX(0,1-0.5*($J$17/S42)^2)*(($AD$29*($AD$9*((S42*10^6/$N$8/$O$17)+(S42*10^6/$N$8/$O$17)*($AD$22-$O$16)*$AD$26/$AD$28)-$AD$8*$AD$26/$AD$28))+(S42*10^6/$N$8/$O$17))+(1-MAX(0,1-0.5*($J$17/S42)^2))*(($Z$25*($Z$9*((S42*10^6/$J$8/$J$15)+(S42*10^6/$J$8/$J$15)*($Z$18-$J$14)*$Z$22/$Z$24)-$Z$8*$Z$22/$Z$24))+(S42*10^6/$J$8/$J$15))</f>
        <v>4.7035164948791591E-6</v>
      </c>
      <c r="U42" s="27">
        <f t="shared" ref="U42:U50" si="13">T41*(R42-R41)+(T42-T41)*(R42-R41)/2</f>
        <v>1.1528891968439264E-3</v>
      </c>
      <c r="V42" s="28">
        <f t="shared" ref="V42:V50" si="14">(T41*(R42-R41)*(R$50-(R41+R42)/2)+(T42-T41)*(R42-R41)/2*(R$50-(2*R42+R41)/3))/(T41*(R42-R41)+(T42-T41)*(R42-R41)/2)</f>
        <v>2744.8458112696862</v>
      </c>
      <c r="W42" s="43">
        <f>W41+W$40*$B$10*1000</f>
        <v>650</v>
      </c>
      <c r="X42" s="27">
        <f>X$32*4*((W42/$B$10/1000)-(W42/$B$10/1000)^2)</f>
        <v>8.184168281249999</v>
      </c>
      <c r="Y42" s="27">
        <f t="shared" ref="Y42:Y50" si="15">(MAX(0,1-0.5*($J$17/X42)^2))*(($V$29*($V$9*($N$35*X42/$N$32+$N$35*X42/$N$32*($V$22-$O$16)*$V$26/$V$28)-$V$8*$V$26/$V$28))+$N$35*X42/$N$32)+(1-(MAX(0,1-0.5*($J$17/X42)^2)))*(($R$25*($R$9*($N$34*X42/$N$32+$N$34*X42/$N$32*($R$18-$J$14)*$R$22/$R$24)-$R$8*$R$22/$R$24))+$N$34*X42/$N$32)</f>
        <v>1.5662496437841618E-6</v>
      </c>
      <c r="Z42" s="27">
        <f>Y41*(W42-W41)+(Y42-Y41)*(W42-W41)/2</f>
        <v>4.5041060512028292E-4</v>
      </c>
      <c r="AA42" s="28">
        <f t="shared" ref="AA42:AA50" si="16">(Y41*(W42-W41)*(W$50-(W41+W42)/2)+(Y42-Y41)*(W42-W41)/2*(W$50-(2*W42+W41)/3))/(Y41*(W42-W41)+(Y42-Y41)*(W42-W41)/2)</f>
        <v>2755.4502577781145</v>
      </c>
    </row>
    <row r="43" spans="1:27" ht="24.75" customHeight="1" x14ac:dyDescent="0.4">
      <c r="A43" s="14" t="s">
        <v>13</v>
      </c>
      <c r="B43" s="86" t="str">
        <f>"1 f"&amp;MAX(10,ROUNDUP((B46*0.15/PI())^0.5,0)*2)</f>
        <v>1 f14</v>
      </c>
      <c r="C43" s="18"/>
      <c r="E43" s="1"/>
      <c r="H43" s="43">
        <f t="shared" si="9"/>
        <v>975</v>
      </c>
      <c r="I43" s="27">
        <f t="shared" si="5"/>
        <v>25.546244648437501</v>
      </c>
      <c r="J43" s="27">
        <f t="shared" si="6"/>
        <v>2.4014374767247324E-6</v>
      </c>
      <c r="K43" s="27">
        <f t="shared" si="10"/>
        <v>5.8790060148504063E-4</v>
      </c>
      <c r="L43" s="28">
        <f t="shared" si="11"/>
        <v>2419.7577326171795</v>
      </c>
      <c r="M43" s="43">
        <f t="shared" ref="M43:M50" si="17">M42+M$40*$B$10*1000</f>
        <v>975</v>
      </c>
      <c r="N43" s="27">
        <f>N$32*4*((M43/$B$10/1000)-(M43/$B$10/1000)^2)</f>
        <v>25.546244648437501</v>
      </c>
      <c r="O43" s="27">
        <f t="shared" si="7"/>
        <v>2.4014374767247324E-6</v>
      </c>
      <c r="P43" s="27">
        <f t="shared" ref="P43:P44" si="18">O42*(M43-M42)+(O43-O42)*(M43-M42)/2</f>
        <v>5.8790060148504063E-4</v>
      </c>
      <c r="Q43" s="28">
        <f t="shared" ref="Q43:Q50" si="19">(O42*(M43-M42)*(M$50-(M42+M43)/2)+(O43-O42)*(M43-M42)/2*(M$50-(2*M43+M42)/3))/(O42*(M43-M42)+(O43-O42)*(M43-M42)/2)</f>
        <v>2419.7577326171795</v>
      </c>
      <c r="R43" s="43">
        <f t="shared" ref="R43:R50" si="20">R42+R$40*$B$10*1000</f>
        <v>975</v>
      </c>
      <c r="S43" s="27">
        <f t="shared" si="8"/>
        <v>25.546244648437501</v>
      </c>
      <c r="T43" s="27">
        <f t="shared" si="12"/>
        <v>6.2133069840398133E-6</v>
      </c>
      <c r="U43" s="27">
        <f t="shared" si="13"/>
        <v>1.773983815324333E-3</v>
      </c>
      <c r="V43" s="28">
        <f t="shared" si="14"/>
        <v>2430.0087807528635</v>
      </c>
      <c r="W43" s="43">
        <f t="shared" ref="W43:W50" si="21">W42+W$40*$B$10*1000</f>
        <v>975</v>
      </c>
      <c r="X43" s="27">
        <f t="shared" ref="X43:X50" si="22">X$32*4*((W43/$B$10/1000)-(W43/$B$10/1000)^2)</f>
        <v>11.594238398437501</v>
      </c>
      <c r="Y43" s="27">
        <f t="shared" si="15"/>
        <v>2.0904921861515316E-6</v>
      </c>
      <c r="Z43" s="27">
        <f>Y42*(W43-W42)+(Y43-Y42)*(W43-W42)/2</f>
        <v>5.9422054736455018E-4</v>
      </c>
      <c r="AA43" s="28">
        <f t="shared" si="16"/>
        <v>2429.7344884146778</v>
      </c>
    </row>
    <row r="44" spans="1:27" ht="24.75" customHeight="1" x14ac:dyDescent="0.4">
      <c r="E44" s="96"/>
      <c r="H44" s="43">
        <f t="shared" si="9"/>
        <v>1300</v>
      </c>
      <c r="I44" s="27">
        <f t="shared" si="5"/>
        <v>32.058032500000003</v>
      </c>
      <c r="J44" s="27">
        <f t="shared" si="6"/>
        <v>3.3220540883832793E-6</v>
      </c>
      <c r="K44" s="27">
        <f t="shared" si="10"/>
        <v>9.3006737933005188E-4</v>
      </c>
      <c r="L44" s="28">
        <f t="shared" si="11"/>
        <v>2103.7873579764655</v>
      </c>
      <c r="M44" s="43">
        <f t="shared" si="17"/>
        <v>1300</v>
      </c>
      <c r="N44" s="27">
        <f>N$32*4*((M44/$B$10/1000)-(M44/$B$10/1000)^2)</f>
        <v>32.058032500000003</v>
      </c>
      <c r="O44" s="27">
        <f t="shared" si="7"/>
        <v>3.3220540883832793E-6</v>
      </c>
      <c r="P44" s="27">
        <f t="shared" si="18"/>
        <v>9.3006737933005188E-4</v>
      </c>
      <c r="Q44" s="28">
        <f t="shared" si="19"/>
        <v>2103.7873579764655</v>
      </c>
      <c r="R44" s="43">
        <f t="shared" si="20"/>
        <v>1300</v>
      </c>
      <c r="S44" s="27">
        <f t="shared" si="8"/>
        <v>32.058032500000003</v>
      </c>
      <c r="T44" s="27">
        <f t="shared" si="12"/>
        <v>7.36814602795273E-6</v>
      </c>
      <c r="U44" s="27">
        <f t="shared" si="13"/>
        <v>2.2069861144487883E-3</v>
      </c>
      <c r="V44" s="28">
        <f t="shared" si="14"/>
        <v>2107.8941760509683</v>
      </c>
      <c r="W44" s="43">
        <f t="shared" si="21"/>
        <v>1300</v>
      </c>
      <c r="X44" s="27">
        <f t="shared" si="22"/>
        <v>14.549632500000001</v>
      </c>
      <c r="Y44" s="27">
        <f t="shared" si="15"/>
        <v>3.0039867055138186E-6</v>
      </c>
      <c r="Z44" s="27">
        <f t="shared" ref="Z44:Z50" si="23">Y43*(W44-W43)+(Y44-Y43)*(W44-W43)/2</f>
        <v>8.278528198956194E-4</v>
      </c>
      <c r="AA44" s="28">
        <f t="shared" si="16"/>
        <v>2102.7873376876532</v>
      </c>
    </row>
    <row r="45" spans="1:27" ht="24.75" customHeight="1" x14ac:dyDescent="0.4">
      <c r="A45" s="104" t="s">
        <v>123</v>
      </c>
      <c r="B45" s="105"/>
      <c r="C45" s="106"/>
      <c r="E45" s="96"/>
      <c r="H45" s="43">
        <f t="shared" si="9"/>
        <v>1625</v>
      </c>
      <c r="I45" s="27">
        <f t="shared" si="5"/>
        <v>37.568006835937496</v>
      </c>
      <c r="J45" s="27">
        <f t="shared" si="6"/>
        <v>4.0639943549772863E-6</v>
      </c>
      <c r="K45" s="27">
        <f t="shared" si="10"/>
        <v>1.2002328720460919E-3</v>
      </c>
      <c r="L45" s="28">
        <f t="shared" si="11"/>
        <v>1782.0588725263099</v>
      </c>
      <c r="M45" s="43">
        <f t="shared" si="17"/>
        <v>1625</v>
      </c>
      <c r="N45" s="27">
        <f>N$32*4*((M45/$B$10/1000)-(M45/$B$10/1000)^2)</f>
        <v>37.568006835937496</v>
      </c>
      <c r="O45" s="27">
        <f t="shared" si="7"/>
        <v>4.0639943549772863E-6</v>
      </c>
      <c r="P45" s="27">
        <f>O44*(M45-M44)+(O45-O44)*(M45-M44)/2</f>
        <v>1.2002328720460919E-3</v>
      </c>
      <c r="Q45" s="28">
        <f t="shared" si="19"/>
        <v>1782.0588725263099</v>
      </c>
      <c r="R45" s="43">
        <f t="shared" si="20"/>
        <v>1625</v>
      </c>
      <c r="S45" s="27">
        <f t="shared" si="8"/>
        <v>37.568006835937496</v>
      </c>
      <c r="T45" s="27">
        <f t="shared" si="12"/>
        <v>8.3017003107719606E-6</v>
      </c>
      <c r="U45" s="27">
        <f t="shared" si="13"/>
        <v>2.5463500300427623E-3</v>
      </c>
      <c r="V45" s="28">
        <f t="shared" si="14"/>
        <v>1784.2729406811259</v>
      </c>
      <c r="W45" s="43">
        <f t="shared" si="21"/>
        <v>1625</v>
      </c>
      <c r="X45" s="27">
        <f t="shared" si="22"/>
        <v>17.050350585937501</v>
      </c>
      <c r="Y45" s="27">
        <f t="shared" si="15"/>
        <v>3.6059619508284907E-6</v>
      </c>
      <c r="Z45" s="27">
        <f t="shared" si="23"/>
        <v>1.0741166566556252E-3</v>
      </c>
      <c r="AA45" s="28">
        <f t="shared" si="16"/>
        <v>1782.5669824911183</v>
      </c>
    </row>
    <row r="46" spans="1:27" ht="24.75" customHeight="1" x14ac:dyDescent="0.4">
      <c r="A46" s="88" t="s">
        <v>20</v>
      </c>
      <c r="B46" s="89">
        <f>((B33*B34^2*PI()/4+C33*C34^2*PI()/4))*D17</f>
        <v>804.24771931898704</v>
      </c>
      <c r="C46" s="90" t="s">
        <v>44</v>
      </c>
      <c r="E46" s="3"/>
      <c r="H46" s="43">
        <f t="shared" si="9"/>
        <v>1950</v>
      </c>
      <c r="I46" s="27">
        <f t="shared" si="5"/>
        <v>42.07616765625</v>
      </c>
      <c r="J46" s="27">
        <f t="shared" si="6"/>
        <v>4.6557020241557159E-6</v>
      </c>
      <c r="K46" s="27">
        <f t="shared" si="10"/>
        <v>1.4169506616091129E-3</v>
      </c>
      <c r="L46" s="28">
        <f t="shared" si="11"/>
        <v>1458.8243178790949</v>
      </c>
      <c r="M46" s="43">
        <f t="shared" si="17"/>
        <v>1950</v>
      </c>
      <c r="N46" s="27">
        <f t="shared" ref="N46:N50" si="24">N$32*4*((M46/$B$10/1000)-(M46/$B$10/1000)^2)</f>
        <v>42.07616765625</v>
      </c>
      <c r="O46" s="27">
        <f t="shared" si="7"/>
        <v>4.6557020241557159E-6</v>
      </c>
      <c r="P46" s="27">
        <f t="shared" ref="P46:P50" si="25">O45*(M46-M45)+(O46-O45)*(M46-M45)/2</f>
        <v>1.4169506616091129E-3</v>
      </c>
      <c r="Q46" s="28">
        <f>(O45*(M46-M45)*(M$50-(M45+M46)/2)+(O46-O45)*(M46-M45)/2*(M$50-(2*M46+M45)/3))/(O45*(M46-M45)+(O46-O45)*(M46-M45)/2)</f>
        <v>1458.8243178790949</v>
      </c>
      <c r="R46" s="43">
        <f t="shared" si="20"/>
        <v>1950</v>
      </c>
      <c r="S46" s="27">
        <f t="shared" si="8"/>
        <v>42.07616765625</v>
      </c>
      <c r="T46" s="27">
        <f t="shared" si="12"/>
        <v>9.0496409507839614E-6</v>
      </c>
      <c r="U46" s="27">
        <f t="shared" si="13"/>
        <v>2.8195929550028373E-3</v>
      </c>
      <c r="V46" s="28">
        <f t="shared" si="14"/>
        <v>1460.1651112600875</v>
      </c>
      <c r="W46" s="43">
        <f t="shared" si="21"/>
        <v>1950</v>
      </c>
      <c r="X46" s="27">
        <f t="shared" si="22"/>
        <v>19.09639265625</v>
      </c>
      <c r="Y46" s="27">
        <f t="shared" si="15"/>
        <v>4.0370501593960955E-6</v>
      </c>
      <c r="Z46" s="27">
        <f t="shared" si="23"/>
        <v>1.2419894679114953E-3</v>
      </c>
      <c r="AA46" s="28">
        <f t="shared" si="16"/>
        <v>1459.4448417769513</v>
      </c>
    </row>
    <row r="47" spans="1:27" ht="24.75" customHeight="1" x14ac:dyDescent="0.4">
      <c r="A47" s="88" t="s">
        <v>4</v>
      </c>
      <c r="B47" s="89">
        <f>B27</f>
        <v>13.373321250000002</v>
      </c>
      <c r="C47" s="90" t="s">
        <v>5</v>
      </c>
      <c r="D47" s="1">
        <f>(1.2*(B19+B20+B24))*(B15+D16)/1000</f>
        <v>4.1815500000000005</v>
      </c>
      <c r="H47" s="43">
        <f t="shared" si="9"/>
        <v>2275</v>
      </c>
      <c r="I47" s="27">
        <f t="shared" si="5"/>
        <v>45.582514960937495</v>
      </c>
      <c r="J47" s="27">
        <f t="shared" si="6"/>
        <v>5.1092086762787753E-6</v>
      </c>
      <c r="K47" s="27">
        <f t="shared" si="10"/>
        <v>1.5867979888206049E-3</v>
      </c>
      <c r="L47" s="28">
        <f t="shared" si="11"/>
        <v>1134.9843657653139</v>
      </c>
      <c r="M47" s="43">
        <f t="shared" si="17"/>
        <v>2275</v>
      </c>
      <c r="N47" s="27">
        <f t="shared" si="24"/>
        <v>45.582514960937495</v>
      </c>
      <c r="O47" s="27">
        <f t="shared" si="7"/>
        <v>5.1092086762787753E-6</v>
      </c>
      <c r="P47" s="27">
        <f t="shared" si="25"/>
        <v>1.5867979888206049E-3</v>
      </c>
      <c r="Q47" s="28">
        <f t="shared" si="19"/>
        <v>1134.9843657653139</v>
      </c>
      <c r="R47" s="43">
        <f t="shared" si="20"/>
        <v>2275</v>
      </c>
      <c r="S47" s="27">
        <f t="shared" si="8"/>
        <v>45.582514960937495</v>
      </c>
      <c r="T47" s="27">
        <f t="shared" si="12"/>
        <v>9.6249988583442165E-6</v>
      </c>
      <c r="U47" s="27">
        <f t="shared" si="13"/>
        <v>3.0346289689833286E-3</v>
      </c>
      <c r="V47" s="28">
        <f t="shared" si="14"/>
        <v>1135.8311474646159</v>
      </c>
      <c r="W47" s="43">
        <f t="shared" si="21"/>
        <v>2275</v>
      </c>
      <c r="X47" s="27">
        <f t="shared" si="22"/>
        <v>20.687758710937498</v>
      </c>
      <c r="Y47" s="27">
        <f t="shared" si="15"/>
        <v>4.3479163166750715E-6</v>
      </c>
      <c r="Z47" s="27">
        <f t="shared" si="23"/>
        <v>1.3625570523615647E-3</v>
      </c>
      <c r="AA47" s="28">
        <f t="shared" si="16"/>
        <v>1135.4918126605119</v>
      </c>
    </row>
    <row r="48" spans="1:27" ht="24.75" customHeight="1" x14ac:dyDescent="0.4">
      <c r="A48" s="88" t="s">
        <v>6</v>
      </c>
      <c r="B48" s="89">
        <f>MAX(B47*B10^2/8,D48+D49)</f>
        <v>70.627852851562508</v>
      </c>
      <c r="C48" s="90" t="s">
        <v>7</v>
      </c>
      <c r="D48" s="1">
        <f>D47*(B10)^2/8</f>
        <v>22.083810937500004</v>
      </c>
      <c r="H48" s="43">
        <f t="shared" si="9"/>
        <v>2600</v>
      </c>
      <c r="I48" s="27">
        <f t="shared" si="5"/>
        <v>48.087048749999994</v>
      </c>
      <c r="J48" s="27">
        <f t="shared" si="6"/>
        <v>5.430333507076244E-6</v>
      </c>
      <c r="K48" s="27">
        <f t="shared" si="10"/>
        <v>1.7126756047951906E-3</v>
      </c>
      <c r="L48" s="28">
        <f t="shared" si="11"/>
        <v>810.84961885767041</v>
      </c>
      <c r="M48" s="43">
        <f t="shared" si="17"/>
        <v>2600</v>
      </c>
      <c r="N48" s="27">
        <f t="shared" si="24"/>
        <v>48.087048749999994</v>
      </c>
      <c r="O48" s="27">
        <f t="shared" si="7"/>
        <v>5.430333507076244E-6</v>
      </c>
      <c r="P48" s="27">
        <f t="shared" si="25"/>
        <v>1.7126756047951906E-3</v>
      </c>
      <c r="Q48" s="28">
        <f t="shared" si="19"/>
        <v>810.84961885767041</v>
      </c>
      <c r="R48" s="43">
        <f t="shared" si="20"/>
        <v>2600</v>
      </c>
      <c r="S48" s="27">
        <f t="shared" si="8"/>
        <v>48.087048749999994</v>
      </c>
      <c r="T48" s="27">
        <f t="shared" si="12"/>
        <v>1.0033452358103534E-5</v>
      </c>
      <c r="U48" s="27">
        <f t="shared" si="13"/>
        <v>3.1944983226727596E-3</v>
      </c>
      <c r="V48" s="28">
        <f t="shared" si="14"/>
        <v>811.37455200174736</v>
      </c>
      <c r="W48" s="43">
        <f t="shared" si="21"/>
        <v>2600</v>
      </c>
      <c r="X48" s="27">
        <f t="shared" si="22"/>
        <v>21.824448749999998</v>
      </c>
      <c r="Y48" s="27">
        <f t="shared" si="15"/>
        <v>4.5603890873593083E-6</v>
      </c>
      <c r="Z48" s="27">
        <f t="shared" si="23"/>
        <v>1.4475996281555867E-3</v>
      </c>
      <c r="AA48" s="28">
        <f t="shared" si="16"/>
        <v>811.20806609973374</v>
      </c>
    </row>
    <row r="49" spans="1:27" ht="24.75" customHeight="1" x14ac:dyDescent="0.4">
      <c r="A49" s="88" t="s">
        <v>19</v>
      </c>
      <c r="B49" s="89">
        <f>(B46*B8*(B12-B46*B8/0.85/(D16+B15)/B7/2)/10^6)*0.9</f>
        <v>75.04207923409831</v>
      </c>
      <c r="C49" s="90" t="s">
        <v>7</v>
      </c>
      <c r="D49" s="1">
        <f>1.6*B21*B10/4</f>
        <v>0</v>
      </c>
      <c r="H49" s="43">
        <f t="shared" si="9"/>
        <v>2925</v>
      </c>
      <c r="I49" s="27">
        <f t="shared" si="5"/>
        <v>49.589769023437498</v>
      </c>
      <c r="J49" s="27">
        <f t="shared" si="6"/>
        <v>5.6220552203410033E-6</v>
      </c>
      <c r="K49" s="27">
        <f t="shared" si="10"/>
        <v>1.7960131682053027E-3</v>
      </c>
      <c r="L49" s="28">
        <f t="shared" si="11"/>
        <v>486.56039079955514</v>
      </c>
      <c r="M49" s="43">
        <f t="shared" si="17"/>
        <v>2925</v>
      </c>
      <c r="N49" s="27">
        <f t="shared" si="24"/>
        <v>49.589769023437498</v>
      </c>
      <c r="O49" s="27">
        <f t="shared" si="7"/>
        <v>5.6220552203410033E-6</v>
      </c>
      <c r="P49" s="27">
        <f t="shared" si="25"/>
        <v>1.7960131682053027E-3</v>
      </c>
      <c r="Q49" s="28">
        <f t="shared" si="19"/>
        <v>486.56039079955514</v>
      </c>
      <c r="R49" s="43">
        <f t="shared" si="20"/>
        <v>2925</v>
      </c>
      <c r="S49" s="27">
        <f t="shared" si="8"/>
        <v>49.589769023437498</v>
      </c>
      <c r="T49" s="27">
        <f t="shared" si="12"/>
        <v>1.0277702116392922E-5</v>
      </c>
      <c r="U49" s="27">
        <f t="shared" si="13"/>
        <v>3.3005626021056739E-3</v>
      </c>
      <c r="V49" s="28">
        <f t="shared" si="14"/>
        <v>486.84862416327508</v>
      </c>
      <c r="W49" s="43">
        <f t="shared" si="21"/>
        <v>2925</v>
      </c>
      <c r="X49" s="27">
        <f t="shared" si="22"/>
        <v>22.506462773437502</v>
      </c>
      <c r="Y49" s="27">
        <f t="shared" si="15"/>
        <v>4.6847592151139797E-6</v>
      </c>
      <c r="Z49" s="27">
        <f t="shared" si="23"/>
        <v>1.5023365991519092E-3</v>
      </c>
      <c r="AA49" s="28">
        <f t="shared" si="16"/>
        <v>486.77132426295685</v>
      </c>
    </row>
    <row r="50" spans="1:27" ht="24.75" customHeight="1" x14ac:dyDescent="0.4">
      <c r="A50" s="91" t="s">
        <v>45</v>
      </c>
      <c r="B50" s="92">
        <f>B48/(B49)</f>
        <v>0.9411766514522425</v>
      </c>
      <c r="C50" s="93" t="str">
        <f>IF(B50&lt;1, "OK","N.G.")</f>
        <v>OK</v>
      </c>
      <c r="E50" s="3"/>
      <c r="H50" s="43">
        <f t="shared" si="9"/>
        <v>3250</v>
      </c>
      <c r="I50" s="27">
        <f t="shared" si="5"/>
        <v>50.090675781249999</v>
      </c>
      <c r="J50" s="27">
        <f t="shared" si="6"/>
        <v>5.6858178916718424E-6</v>
      </c>
      <c r="K50" s="27">
        <f t="shared" si="10"/>
        <v>1.8375293807020875E-3</v>
      </c>
      <c r="L50" s="28">
        <f t="shared" si="11"/>
        <v>162.19456578354377</v>
      </c>
      <c r="M50" s="43">
        <f t="shared" si="17"/>
        <v>3250</v>
      </c>
      <c r="N50" s="27">
        <f t="shared" si="24"/>
        <v>50.090675781249999</v>
      </c>
      <c r="O50" s="27">
        <f t="shared" si="7"/>
        <v>5.6858178916718424E-6</v>
      </c>
      <c r="P50" s="27">
        <f t="shared" si="25"/>
        <v>1.8375293807020875E-3</v>
      </c>
      <c r="Q50" s="28">
        <f t="shared" si="19"/>
        <v>162.19456578354377</v>
      </c>
      <c r="R50" s="43">
        <f t="shared" si="20"/>
        <v>3250</v>
      </c>
      <c r="S50" s="27">
        <f t="shared" si="8"/>
        <v>50.090675781249999</v>
      </c>
      <c r="T50" s="27">
        <f t="shared" si="12"/>
        <v>1.0358996618599741E-5</v>
      </c>
      <c r="U50" s="27">
        <f t="shared" si="13"/>
        <v>3.3534635444363078E-3</v>
      </c>
      <c r="V50" s="28">
        <f t="shared" si="14"/>
        <v>162.28662031852008</v>
      </c>
      <c r="W50" s="43">
        <f t="shared" si="21"/>
        <v>3250</v>
      </c>
      <c r="X50" s="27">
        <f t="shared" si="22"/>
        <v>22.73380078125</v>
      </c>
      <c r="Y50" s="27">
        <f t="shared" si="15"/>
        <v>4.7257550136516986E-6</v>
      </c>
      <c r="Z50" s="27">
        <f t="shared" si="23"/>
        <v>1.5292085621744227E-3</v>
      </c>
      <c r="AA50" s="28">
        <f t="shared" si="16"/>
        <v>162.2640292868015</v>
      </c>
    </row>
    <row r="51" spans="1:27" ht="24.75" customHeight="1" thickBot="1" x14ac:dyDescent="0.35">
      <c r="A51" s="7"/>
      <c r="B51" s="10"/>
      <c r="E51" s="3"/>
      <c r="H51" s="34" t="str">
        <f>"delta (D+SD+L)="</f>
        <v>delta (D+SD+L)=</v>
      </c>
      <c r="I51" s="30">
        <f>SUM(K41:K50)*H50-K41*L41-K42*L42-K43*L43-K44*L44-K45*L45-K46*L46-K47*L47-K48*L48-K49*L49-K50*L50</f>
        <v>24.17999447494844</v>
      </c>
      <c r="J51" s="30"/>
      <c r="K51" s="30"/>
      <c r="L51" s="31"/>
      <c r="M51" s="34" t="str">
        <f>"delta (D+SD+L)="</f>
        <v>delta (D+SD+L)=</v>
      </c>
      <c r="N51" s="30">
        <f>SUM(P41:P50)*M50-P41*Q41-P42*Q42-P43*Q43-P44*Q44-P45*Q45-P46*Q46-P47*Q47-P48*Q48-P49*Q49-P50*Q50</f>
        <v>24.17999447494844</v>
      </c>
      <c r="O51" s="30"/>
      <c r="P51" s="30"/>
      <c r="Q51" s="31"/>
      <c r="R51" s="34" t="str">
        <f>"delta (D+SD+L)="</f>
        <v>delta (D+SD+L)=</v>
      </c>
      <c r="S51" s="30">
        <f>SUM(U41:U50)*R50-U41*V41-U42*V42-U43*V43-U44*V44-U45*V45-U46*V46-U47*V47-U48*V48-U49*V49-U50*V50</f>
        <v>47.101090618390074</v>
      </c>
      <c r="T51" s="30"/>
      <c r="U51" s="30"/>
      <c r="V51" s="31"/>
      <c r="W51" s="52" t="str">
        <f>"delta (D+SD+L)="</f>
        <v>delta (D+SD+L)=</v>
      </c>
      <c r="X51" s="30">
        <f>SUM(Z41:Z50)*W50-Z41*AA41-Z42*AA42-Z43*AA43-Z44*AA44-Z45*AA45-Z46*AA46-Z47*AA47-Z48*AA48-Z49*AA49-Z50*AA50</f>
        <v>20.787005322344431</v>
      </c>
      <c r="Y51" s="30"/>
      <c r="Z51" s="30"/>
      <c r="AA51" s="31"/>
    </row>
    <row r="52" spans="1:27" ht="24.75" customHeight="1" x14ac:dyDescent="0.3">
      <c r="A52" s="103" t="s">
        <v>124</v>
      </c>
      <c r="B52" s="103"/>
      <c r="C52" s="103"/>
      <c r="D52" s="1">
        <f>B46/D16/B11</f>
        <v>1.3404128655316452E-2</v>
      </c>
      <c r="E52" s="3"/>
    </row>
    <row r="53" spans="1:27" ht="24.75" customHeight="1" x14ac:dyDescent="0.3">
      <c r="A53" s="94" t="s">
        <v>11</v>
      </c>
      <c r="B53" s="89">
        <f>(B38^2*PI()/4/B37*((B12-20-C39/2-20)/((B12-20-C39/2-20)^2+(B37/2)^2)^0.5+(B37/2)/((B12-20-C39/2-20)^2+(B37/2)^2)^0.5))*D17</f>
        <v>0.21006237001925734</v>
      </c>
      <c r="C53" s="95" t="str">
        <f>IF(B53&lt;0.35*D16/B9, "Av/s is Less Than Minimum", "OK")</f>
        <v>Av/s is Less Than Minimum</v>
      </c>
    </row>
    <row r="54" spans="1:27" ht="24.75" customHeight="1" x14ac:dyDescent="0.3">
      <c r="A54" s="94" t="s">
        <v>9</v>
      </c>
      <c r="B54" s="89">
        <f>MAX(B47*(B10-2*B12/1000)/2,D54+D55)</f>
        <v>39.852497325000009</v>
      </c>
      <c r="C54" s="90" t="s">
        <v>12</v>
      </c>
      <c r="D54" s="1">
        <f>D47*(B10-2*B12/1000)/2</f>
        <v>12.461019000000002</v>
      </c>
    </row>
    <row r="55" spans="1:27" ht="24.75" customHeight="1" x14ac:dyDescent="0.3">
      <c r="A55" s="94" t="s">
        <v>140</v>
      </c>
      <c r="B55" s="89">
        <f>0.75*(1.1*B7^0.5*0.66*(B46/B12/D16)^0.333*(D16*B12)/1000)</f>
        <v>36.221742786299743</v>
      </c>
      <c r="C55" s="90" t="s">
        <v>12</v>
      </c>
      <c r="D55" s="1">
        <f>1.6*B21/2</f>
        <v>0</v>
      </c>
    </row>
    <row r="56" spans="1:27" ht="24.75" customHeight="1" thickBot="1" x14ac:dyDescent="0.35">
      <c r="A56" s="94"/>
      <c r="B56" s="107" t="str">
        <f>IF(B54&lt;B55,"خاموت برشی لازم نیست", "خاموت برشی لازم است")</f>
        <v>خاموت برشی لازم است</v>
      </c>
      <c r="C56" s="108"/>
    </row>
    <row r="57" spans="1:27" ht="24.75" customHeight="1" thickBot="1" x14ac:dyDescent="0.35">
      <c r="A57" s="94" t="s">
        <v>141</v>
      </c>
      <c r="B57" s="89">
        <f>0.75*(1.1*B7^0.5*0.17*(D16*B12)/1000)</f>
        <v>37.8675</v>
      </c>
      <c r="C57" s="90" t="s">
        <v>12</v>
      </c>
      <c r="L57" s="136" t="str">
        <f t="shared" ref="L57:L70" si="26">I7</f>
        <v>مقطع ترک نخورده قبل از گذر زمان</v>
      </c>
      <c r="M57" s="137"/>
      <c r="N57" s="137"/>
      <c r="O57" s="138"/>
      <c r="P57" s="132" t="str">
        <f t="shared" ref="P57:P70" si="27">M7</f>
        <v>مقطع ترک خورده قبل از گذر زمان</v>
      </c>
      <c r="Q57" s="133"/>
      <c r="R57" s="133"/>
      <c r="S57" s="134"/>
    </row>
    <row r="58" spans="1:27" ht="24.75" customHeight="1" x14ac:dyDescent="0.3">
      <c r="A58" s="94" t="s">
        <v>31</v>
      </c>
      <c r="B58" s="89">
        <f>0.75*(B53*B9*B12/1000)</f>
        <v>12.761288978669885</v>
      </c>
      <c r="C58" s="90" t="s">
        <v>12</v>
      </c>
      <c r="D58" s="57"/>
      <c r="L58" s="23" t="str">
        <f t="shared" si="26"/>
        <v>Ec</v>
      </c>
      <c r="M58" s="24">
        <f t="shared" ref="M58:M70" si="28">J8</f>
        <v>23500</v>
      </c>
      <c r="N58" s="24">
        <f t="shared" ref="N58:N70" si="29">K8</f>
        <v>0</v>
      </c>
      <c r="O58" s="25">
        <f t="shared" ref="O58:O70" si="30">L8</f>
        <v>0</v>
      </c>
      <c r="P58" s="23" t="str">
        <f t="shared" si="27"/>
        <v>Ec</v>
      </c>
      <c r="Q58" s="24">
        <f t="shared" ref="Q58:Q70" si="31">N8</f>
        <v>23500</v>
      </c>
      <c r="R58" s="24">
        <f t="shared" ref="R58:R70" si="32">O8</f>
        <v>0</v>
      </c>
      <c r="S58" s="25">
        <f t="shared" ref="S58:S70" si="33">P8</f>
        <v>0</v>
      </c>
    </row>
    <row r="59" spans="1:27" ht="24.75" customHeight="1" x14ac:dyDescent="0.3">
      <c r="A59" s="94" t="s">
        <v>22</v>
      </c>
      <c r="B59" s="89">
        <f>(B55+B58)</f>
        <v>48.983031764969624</v>
      </c>
      <c r="C59" s="90" t="s">
        <v>12</v>
      </c>
      <c r="L59" s="26" t="str">
        <f t="shared" si="26"/>
        <v>n=Es/Ec</v>
      </c>
      <c r="M59" s="27">
        <f t="shared" si="28"/>
        <v>8.5106382978723403</v>
      </c>
      <c r="N59" s="27">
        <f t="shared" si="29"/>
        <v>0</v>
      </c>
      <c r="O59" s="28">
        <f t="shared" si="30"/>
        <v>0</v>
      </c>
      <c r="P59" s="26" t="str">
        <f t="shared" si="27"/>
        <v>n=Es/Ec</v>
      </c>
      <c r="Q59" s="27">
        <f t="shared" si="31"/>
        <v>8.5106382978723403</v>
      </c>
      <c r="R59" s="27">
        <f t="shared" si="32"/>
        <v>0</v>
      </c>
      <c r="S59" s="28">
        <f t="shared" si="33"/>
        <v>0</v>
      </c>
    </row>
    <row r="60" spans="1:27" ht="24.75" customHeight="1" x14ac:dyDescent="0.3">
      <c r="A60" s="91" t="s">
        <v>46</v>
      </c>
      <c r="B60" s="92">
        <f>B54/B59</f>
        <v>0.81359801321037573</v>
      </c>
      <c r="C60" s="93" t="str">
        <f>IF(B60&lt;1, "OK","N.G.")</f>
        <v>OK</v>
      </c>
      <c r="L60" s="26" t="str">
        <f t="shared" si="26"/>
        <v>Aw,Yw,Iw</v>
      </c>
      <c r="M60" s="27">
        <f t="shared" si="28"/>
        <v>60000</v>
      </c>
      <c r="N60" s="27">
        <f t="shared" si="29"/>
        <v>150</v>
      </c>
      <c r="O60" s="28">
        <f t="shared" si="30"/>
        <v>450000000</v>
      </c>
      <c r="P60" s="26" t="str">
        <f t="shared" si="27"/>
        <v>nAs</v>
      </c>
      <c r="Q60" s="27">
        <f t="shared" si="31"/>
        <v>6844.6614410126558</v>
      </c>
      <c r="R60" s="27">
        <f t="shared" si="32"/>
        <v>0</v>
      </c>
      <c r="S60" s="28">
        <f t="shared" si="33"/>
        <v>0</v>
      </c>
    </row>
    <row r="61" spans="1:27" ht="24.75" customHeight="1" x14ac:dyDescent="0.3">
      <c r="L61" s="26" t="str">
        <f t="shared" si="26"/>
        <v>Af</v>
      </c>
      <c r="M61" s="27">
        <f t="shared" si="28"/>
        <v>25000</v>
      </c>
      <c r="N61" s="27">
        <f t="shared" si="29"/>
        <v>25</v>
      </c>
      <c r="O61" s="28">
        <f t="shared" si="30"/>
        <v>5208333.333333333</v>
      </c>
      <c r="P61" s="26" t="str">
        <f t="shared" si="27"/>
        <v>(n-1)*A's</v>
      </c>
      <c r="Q61" s="27">
        <f t="shared" si="31"/>
        <v>2076.3922168321983</v>
      </c>
      <c r="R61" s="27">
        <f t="shared" si="32"/>
        <v>0</v>
      </c>
      <c r="S61" s="28">
        <f t="shared" si="33"/>
        <v>0</v>
      </c>
    </row>
    <row r="62" spans="1:27" ht="24.75" customHeight="1" x14ac:dyDescent="0.3">
      <c r="A62" s="103" t="s">
        <v>127</v>
      </c>
      <c r="B62" s="103"/>
      <c r="C62" s="103"/>
      <c r="L62" s="26" t="str">
        <f t="shared" si="26"/>
        <v>(n-1)*As</v>
      </c>
      <c r="M62" s="27">
        <f t="shared" si="28"/>
        <v>6040.4137216936688</v>
      </c>
      <c r="N62" s="27">
        <f t="shared" si="29"/>
        <v>270</v>
      </c>
      <c r="O62" s="28">
        <f t="shared" si="30"/>
        <v>0</v>
      </c>
      <c r="P62" s="26" t="str">
        <f t="shared" si="27"/>
        <v>B</v>
      </c>
      <c r="Q62" s="27">
        <f t="shared" si="31"/>
        <v>0.10226948491647181</v>
      </c>
      <c r="R62" s="27" t="str">
        <f t="shared" si="32"/>
        <v>C</v>
      </c>
      <c r="S62" s="28">
        <f t="shared" si="33"/>
        <v>2.921985283327766E-2</v>
      </c>
    </row>
    <row r="63" spans="1:27" ht="24.75" customHeight="1" x14ac:dyDescent="0.3">
      <c r="A63" s="88" t="s">
        <v>4</v>
      </c>
      <c r="B63" s="89">
        <f>B26</f>
        <v>7.0190303571428583</v>
      </c>
      <c r="C63" s="90" t="s">
        <v>44</v>
      </c>
      <c r="L63" s="26" t="str">
        <f t="shared" si="26"/>
        <v>(n-1)*A's</v>
      </c>
      <c r="M63" s="27">
        <f t="shared" si="28"/>
        <v>2076.3922168321983</v>
      </c>
      <c r="N63" s="27">
        <f t="shared" si="29"/>
        <v>30</v>
      </c>
      <c r="O63" s="28">
        <f t="shared" si="30"/>
        <v>0</v>
      </c>
      <c r="P63" s="26" t="str">
        <f t="shared" si="27"/>
        <v>r</v>
      </c>
      <c r="Q63" s="27">
        <f t="shared" si="31"/>
        <v>0.30335937499999993</v>
      </c>
      <c r="R63" s="27" t="str">
        <f t="shared" si="32"/>
        <v>f</v>
      </c>
      <c r="S63" s="28">
        <f t="shared" si="33"/>
        <v>3.6524816041597075</v>
      </c>
    </row>
    <row r="64" spans="1:27" ht="24.75" customHeight="1" x14ac:dyDescent="0.3">
      <c r="A64" s="88" t="s">
        <v>6</v>
      </c>
      <c r="B64" s="89">
        <f>B63*(B15/1000)^2/8</f>
        <v>0.21934469866071432</v>
      </c>
      <c r="C64" s="90" t="s">
        <v>7</v>
      </c>
      <c r="L64" s="26" t="str">
        <f t="shared" si="26"/>
        <v>Y (from top)</v>
      </c>
      <c r="M64" s="27">
        <f t="shared" si="28"/>
        <v>121.54845043583583</v>
      </c>
      <c r="N64" s="27">
        <f t="shared" si="29"/>
        <v>0</v>
      </c>
      <c r="O64" s="28">
        <f t="shared" si="30"/>
        <v>0</v>
      </c>
      <c r="P64" s="26" t="str">
        <f t="shared" si="27"/>
        <v>Y (from top)</v>
      </c>
      <c r="Q64" s="27">
        <f t="shared" si="31"/>
        <v>62.22604943028518</v>
      </c>
      <c r="R64" s="27" t="str">
        <f t="shared" si="32"/>
        <v>Y(from top)</v>
      </c>
      <c r="S64" s="28">
        <f t="shared" si="33"/>
        <v>63.030607248586051</v>
      </c>
    </row>
    <row r="65" spans="1:19" ht="24.75" customHeight="1" thickBot="1" x14ac:dyDescent="0.35">
      <c r="A65" s="88" t="s">
        <v>19</v>
      </c>
      <c r="B65" s="89">
        <f>0.6*0.42*B7^0.5*1000*B14^2/6/10^6</f>
        <v>0.52500000000000002</v>
      </c>
      <c r="C65" s="90" t="s">
        <v>7</v>
      </c>
      <c r="L65" s="29" t="str">
        <f t="shared" si="26"/>
        <v>I</v>
      </c>
      <c r="M65" s="30">
        <f t="shared" si="28"/>
        <v>887338152.97837043</v>
      </c>
      <c r="N65" s="30">
        <f t="shared" si="29"/>
        <v>0</v>
      </c>
      <c r="O65" s="31">
        <f t="shared" si="30"/>
        <v>0</v>
      </c>
      <c r="P65" s="26" t="str">
        <f t="shared" si="27"/>
        <v>I</v>
      </c>
      <c r="Q65" s="27">
        <f t="shared" si="31"/>
        <v>353860845.97107655</v>
      </c>
      <c r="R65" s="32" t="str">
        <f t="shared" si="32"/>
        <v>I</v>
      </c>
      <c r="S65" s="28">
        <f t="shared" si="33"/>
        <v>353526178.95849818</v>
      </c>
    </row>
    <row r="66" spans="1:19" ht="24.75" customHeight="1" x14ac:dyDescent="0.3">
      <c r="A66" s="91" t="s">
        <v>45</v>
      </c>
      <c r="B66" s="92">
        <f>B64/(B65)</f>
        <v>0.4177994260204082</v>
      </c>
      <c r="C66" s="93" t="str">
        <f>IF(B66&lt;1, "OK","N.G.")</f>
        <v>OK</v>
      </c>
      <c r="L66" s="26" t="str">
        <f t="shared" si="26"/>
        <v>fr</v>
      </c>
      <c r="M66" s="27">
        <f t="shared" si="28"/>
        <v>3.1</v>
      </c>
      <c r="N66" s="27">
        <f t="shared" si="29"/>
        <v>0</v>
      </c>
      <c r="O66" s="28">
        <f t="shared" si="30"/>
        <v>0</v>
      </c>
      <c r="P66" s="26">
        <f t="shared" si="27"/>
        <v>0</v>
      </c>
      <c r="Q66" s="27" t="str">
        <f t="shared" si="31"/>
        <v>Y (from Top)</v>
      </c>
      <c r="R66" s="27">
        <f t="shared" si="32"/>
        <v>63.030607248586051</v>
      </c>
      <c r="S66" s="28">
        <f t="shared" si="33"/>
        <v>0</v>
      </c>
    </row>
    <row r="67" spans="1:19" ht="24.75" customHeight="1" thickBot="1" x14ac:dyDescent="0.35">
      <c r="L67" s="29" t="str">
        <f t="shared" si="26"/>
        <v>Mcr</v>
      </c>
      <c r="M67" s="30">
        <f t="shared" si="28"/>
        <v>15.414538461286307</v>
      </c>
      <c r="N67" s="30" t="str">
        <f t="shared" si="29"/>
        <v>kN.m</v>
      </c>
      <c r="O67" s="31">
        <f t="shared" si="30"/>
        <v>0</v>
      </c>
      <c r="P67" s="29">
        <f t="shared" si="27"/>
        <v>0</v>
      </c>
      <c r="Q67" s="30" t="str">
        <f t="shared" si="31"/>
        <v>I=</v>
      </c>
      <c r="R67" s="30">
        <f t="shared" si="32"/>
        <v>353526178.95849818</v>
      </c>
      <c r="S67" s="31">
        <f t="shared" si="33"/>
        <v>0</v>
      </c>
    </row>
    <row r="68" spans="1:19" ht="17.399999999999999" x14ac:dyDescent="0.3">
      <c r="A68" s="104" t="s">
        <v>126</v>
      </c>
      <c r="B68" s="105"/>
      <c r="C68" s="106"/>
      <c r="L68" s="49" t="str">
        <f t="shared" si="26"/>
        <v>M-D</v>
      </c>
      <c r="M68" s="24">
        <f t="shared" si="28"/>
        <v>11.009425781250002</v>
      </c>
      <c r="N68" s="24" t="str">
        <f t="shared" si="29"/>
        <v>kN.m</v>
      </c>
      <c r="O68" s="25">
        <f t="shared" si="30"/>
        <v>0</v>
      </c>
      <c r="P68">
        <f t="shared" si="27"/>
        <v>0</v>
      </c>
      <c r="Q68">
        <f t="shared" si="31"/>
        <v>0</v>
      </c>
      <c r="R68">
        <f t="shared" si="32"/>
        <v>0</v>
      </c>
      <c r="S68">
        <f t="shared" si="33"/>
        <v>0</v>
      </c>
    </row>
    <row r="69" spans="1:19" ht="15" x14ac:dyDescent="0.3">
      <c r="A69" s="16" t="s">
        <v>128</v>
      </c>
      <c r="B69" s="17">
        <f>1.6*B21</f>
        <v>0</v>
      </c>
      <c r="C69" s="12" t="s">
        <v>12</v>
      </c>
      <c r="L69" s="50" t="str">
        <f t="shared" si="26"/>
        <v>M-SD + M-P</v>
      </c>
      <c r="M69" s="27">
        <f t="shared" si="28"/>
        <v>39.081249999999997</v>
      </c>
      <c r="N69" s="27">
        <f t="shared" si="29"/>
        <v>0</v>
      </c>
      <c r="O69" s="28">
        <f t="shared" si="30"/>
        <v>0</v>
      </c>
      <c r="P69">
        <f t="shared" si="27"/>
        <v>0</v>
      </c>
      <c r="Q69">
        <f t="shared" si="31"/>
        <v>0</v>
      </c>
      <c r="R69">
        <f t="shared" si="32"/>
        <v>0</v>
      </c>
      <c r="S69">
        <f t="shared" si="33"/>
        <v>0</v>
      </c>
    </row>
    <row r="70" spans="1:19" ht="15.6" thickBot="1" x14ac:dyDescent="0.35">
      <c r="A70" s="16" t="s">
        <v>22</v>
      </c>
      <c r="B70" s="17">
        <f>0.6*0.22*B7^0.5*4*(B23+B14)*B14/10^3</f>
        <v>22.44</v>
      </c>
      <c r="C70" s="12" t="s">
        <v>12</v>
      </c>
      <c r="L70" s="51" t="str">
        <f t="shared" si="26"/>
        <v>M-L</v>
      </c>
      <c r="M70" s="30">
        <f t="shared" si="28"/>
        <v>0</v>
      </c>
      <c r="N70" s="30">
        <f t="shared" si="29"/>
        <v>0</v>
      </c>
      <c r="O70" s="31">
        <f t="shared" si="30"/>
        <v>0</v>
      </c>
      <c r="P70">
        <f t="shared" si="27"/>
        <v>0</v>
      </c>
      <c r="Q70" s="3">
        <f t="shared" si="31"/>
        <v>0</v>
      </c>
      <c r="R70" s="3">
        <f t="shared" si="32"/>
        <v>0</v>
      </c>
      <c r="S70">
        <f t="shared" si="33"/>
        <v>0</v>
      </c>
    </row>
    <row r="71" spans="1:19" ht="15" x14ac:dyDescent="0.3">
      <c r="A71" s="8" t="s">
        <v>45</v>
      </c>
      <c r="B71" s="9">
        <f>B69/(B70)</f>
        <v>0</v>
      </c>
      <c r="C71" s="13" t="str">
        <f>IF(B71&lt;1, "OK","N.G.")</f>
        <v>OK</v>
      </c>
    </row>
    <row r="75" spans="1:19" ht="17.399999999999999" x14ac:dyDescent="0.3">
      <c r="A75" s="69" t="s">
        <v>119</v>
      </c>
      <c r="B75" s="75">
        <v>5</v>
      </c>
      <c r="C75" s="70"/>
    </row>
    <row r="76" spans="1:19" ht="24.6" x14ac:dyDescent="0.4">
      <c r="A76" s="73" t="s">
        <v>112</v>
      </c>
      <c r="B76" s="75">
        <v>5.62E-4</v>
      </c>
      <c r="C76" s="70"/>
    </row>
    <row r="77" spans="1:19" ht="22.8" x14ac:dyDescent="0.4">
      <c r="A77" s="73" t="s">
        <v>113</v>
      </c>
      <c r="B77" s="75">
        <v>1.4</v>
      </c>
      <c r="C77" s="70"/>
    </row>
    <row r="78" spans="1:19" ht="25.2" thickBot="1" x14ac:dyDescent="0.45">
      <c r="A78" s="73" t="s">
        <v>114</v>
      </c>
      <c r="B78" s="75">
        <v>7.7999999999999999E-4</v>
      </c>
      <c r="C78" s="70"/>
    </row>
    <row r="79" spans="1:19" ht="23.4" thickBot="1" x14ac:dyDescent="0.45">
      <c r="A79" s="73" t="s">
        <v>115</v>
      </c>
      <c r="B79" s="75">
        <v>2.35</v>
      </c>
      <c r="C79" s="70"/>
      <c r="I79" s="132" t="s">
        <v>117</v>
      </c>
      <c r="J79" s="137"/>
      <c r="K79" s="137"/>
      <c r="L79" s="138"/>
      <c r="M79" s="132" t="s">
        <v>118</v>
      </c>
      <c r="N79" s="133"/>
      <c r="O79" s="133"/>
      <c r="P79" s="134"/>
    </row>
    <row r="80" spans="1:19" ht="22.8" x14ac:dyDescent="0.4">
      <c r="A80" s="74" t="s">
        <v>116</v>
      </c>
      <c r="B80" s="75">
        <v>0.8</v>
      </c>
      <c r="C80" s="70"/>
      <c r="I80" s="23" t="s">
        <v>56</v>
      </c>
      <c r="J80" s="24">
        <f>4700*B7^0.5*1.25</f>
        <v>29375</v>
      </c>
      <c r="K80" s="24"/>
      <c r="L80" s="25"/>
      <c r="M80" s="23" t="s">
        <v>56</v>
      </c>
      <c r="N80" s="24">
        <f>J80</f>
        <v>29375</v>
      </c>
      <c r="O80" s="24"/>
      <c r="P80" s="25"/>
    </row>
    <row r="81" spans="1:16" x14ac:dyDescent="0.3">
      <c r="A81" s="7"/>
      <c r="B81" s="10"/>
      <c r="I81" s="26" t="s">
        <v>57</v>
      </c>
      <c r="J81" s="27">
        <f>200000/J80</f>
        <v>6.8085106382978724</v>
      </c>
      <c r="K81" s="27"/>
      <c r="L81" s="28"/>
      <c r="M81" s="26" t="s">
        <v>57</v>
      </c>
      <c r="N81" s="27">
        <f>J81</f>
        <v>6.8085106382978724</v>
      </c>
      <c r="O81" s="27"/>
      <c r="P81" s="28"/>
    </row>
    <row r="82" spans="1:16" ht="15" x14ac:dyDescent="0.3">
      <c r="A82" s="66" t="s">
        <v>103</v>
      </c>
      <c r="B82" s="55">
        <f>I51</f>
        <v>24.17999447494844</v>
      </c>
      <c r="C82" s="81" t="s">
        <v>3</v>
      </c>
      <c r="I82" s="26" t="s">
        <v>59</v>
      </c>
      <c r="J82" s="27">
        <f>D16*B11</f>
        <v>60000</v>
      </c>
      <c r="K82" s="27">
        <f>B11/2</f>
        <v>150</v>
      </c>
      <c r="L82" s="28">
        <f>D16*B11^3/12</f>
        <v>450000000</v>
      </c>
      <c r="M82" s="26" t="s">
        <v>63</v>
      </c>
      <c r="N82" s="27">
        <f>N81*B46</f>
        <v>5475.7291528101241</v>
      </c>
      <c r="O82" s="27"/>
      <c r="P82" s="28"/>
    </row>
    <row r="83" spans="1:16" ht="15" x14ac:dyDescent="0.3">
      <c r="A83" s="66" t="s">
        <v>104</v>
      </c>
      <c r="B83" s="55">
        <f>N51</f>
        <v>24.17999447494844</v>
      </c>
      <c r="C83" s="81" t="s">
        <v>3</v>
      </c>
      <c r="I83" s="26" t="s">
        <v>53</v>
      </c>
      <c r="J83" s="27">
        <f>(E16-D16)*B14</f>
        <v>25000</v>
      </c>
      <c r="K83" s="27">
        <f>B14/2</f>
        <v>25</v>
      </c>
      <c r="L83" s="28">
        <f>(E16-D16)*B14^3/12</f>
        <v>5208333.333333333</v>
      </c>
      <c r="M83" s="26" t="s">
        <v>55</v>
      </c>
      <c r="N83" s="27">
        <f>(N81-1)*B41</f>
        <v>1605.8217427625784</v>
      </c>
      <c r="O83" s="27"/>
      <c r="P83" s="28"/>
    </row>
    <row r="84" spans="1:16" ht="15" x14ac:dyDescent="0.3">
      <c r="A84" s="66" t="s">
        <v>105</v>
      </c>
      <c r="B84" s="55">
        <f>S51</f>
        <v>47.101090618390074</v>
      </c>
      <c r="C84" s="81" t="s">
        <v>3</v>
      </c>
      <c r="I84" s="26" t="s">
        <v>54</v>
      </c>
      <c r="J84" s="27">
        <f>(J81-1)*B46</f>
        <v>4671.4814334911371</v>
      </c>
      <c r="K84" s="27">
        <f>B12</f>
        <v>270</v>
      </c>
      <c r="L84" s="28">
        <v>0</v>
      </c>
      <c r="M84" s="26" t="s">
        <v>62</v>
      </c>
      <c r="N84" s="27">
        <f>$E$16/N82</f>
        <v>0.12783685614558976</v>
      </c>
      <c r="O84" s="27" t="s">
        <v>24</v>
      </c>
      <c r="P84" s="28">
        <f>$D$16/N82</f>
        <v>3.6524816041597082E-2</v>
      </c>
    </row>
    <row r="85" spans="1:16" ht="15" x14ac:dyDescent="0.3">
      <c r="A85" s="66" t="s">
        <v>106</v>
      </c>
      <c r="B85" s="55">
        <f>X51</f>
        <v>20.787005322344431</v>
      </c>
      <c r="C85" s="81" t="s">
        <v>3</v>
      </c>
      <c r="I85" s="26" t="s">
        <v>55</v>
      </c>
      <c r="J85" s="27">
        <f>(J81-1)*B41</f>
        <v>1605.8217427625784</v>
      </c>
      <c r="K85" s="27">
        <f>B13</f>
        <v>30</v>
      </c>
      <c r="L85" s="28">
        <v>0</v>
      </c>
      <c r="M85" s="26" t="s">
        <v>26</v>
      </c>
      <c r="N85" s="27">
        <f>N83/N82</f>
        <v>0.29326171875000001</v>
      </c>
      <c r="O85" s="27" t="s">
        <v>25</v>
      </c>
      <c r="P85" s="28">
        <f>$B$14*($E$16-$D$16)/N82</f>
        <v>4.5656020051996347</v>
      </c>
    </row>
    <row r="86" spans="1:16" ht="15" x14ac:dyDescent="0.3">
      <c r="A86" s="66" t="s">
        <v>32</v>
      </c>
      <c r="B86" s="55">
        <f>B84-B85+B82-B83</f>
        <v>26.314085296045644</v>
      </c>
      <c r="C86" s="81" t="s">
        <v>3</v>
      </c>
      <c r="I86" s="26" t="s">
        <v>60</v>
      </c>
      <c r="J86" s="27">
        <f>(J82*K82+J83*K83+J84*K84+J85*K85)/SUM(J82:J85)</f>
        <v>119.79401514757009</v>
      </c>
      <c r="K86" s="27"/>
      <c r="L86" s="28"/>
      <c r="M86" s="26" t="s">
        <v>60</v>
      </c>
      <c r="N86" s="27">
        <f>((2*$B$12*N84*(1+N85*$B$13/$B$12)+(1+N85)^2)^0.5-(1+N85))/N84</f>
        <v>56.697564452934721</v>
      </c>
      <c r="O86" s="27" t="s">
        <v>64</v>
      </c>
      <c r="P86" s="28">
        <f>((P84*(2*$B$12+$B$14*P85+2*N85*$B$13)+(P85+N85+1)^2)^0.5-(P85+N85+1))/P84</f>
        <v>56.9556806533624</v>
      </c>
    </row>
    <row r="87" spans="1:16" ht="15.6" thickBot="1" x14ac:dyDescent="0.35">
      <c r="A87" s="66" t="s">
        <v>33</v>
      </c>
      <c r="B87" s="55">
        <f>I51-N51</f>
        <v>0</v>
      </c>
      <c r="C87" s="81" t="s">
        <v>3</v>
      </c>
      <c r="I87" s="29" t="s">
        <v>58</v>
      </c>
      <c r="J87" s="30">
        <f>L82+J82*(J86-K82)^2+L83+J83*(J86-K83)^2+J84*(J86-K84)^2+J85*(J86-K85)^2</f>
        <v>852944948.82924545</v>
      </c>
      <c r="K87" s="30"/>
      <c r="L87" s="31"/>
      <c r="M87" s="26" t="s">
        <v>58</v>
      </c>
      <c r="N87" s="27">
        <f>$E$16*N86^3/3+N82*($B$12-N86)^2+N83*(N86-$B$13)^2</f>
        <v>292806415.61995649</v>
      </c>
      <c r="O87" s="32" t="s">
        <v>58</v>
      </c>
      <c r="P87" s="28">
        <f>($E$16-$D$16)*$B$14^3/12+$D$16*P86^3/3+($E$16-$D$16)*$B$14*(P86-$B$14/2)^2+N82*($B$12-P86)^2+N83*(P86-$B$13)^2</f>
        <v>292753447.92259938</v>
      </c>
    </row>
    <row r="88" spans="1:16" x14ac:dyDescent="0.3">
      <c r="I88" s="26" t="s">
        <v>67</v>
      </c>
      <c r="J88" s="27">
        <f>J16</f>
        <v>3.1</v>
      </c>
      <c r="K88" s="27"/>
      <c r="L88" s="28"/>
      <c r="M88" s="26"/>
      <c r="N88" s="27" t="s">
        <v>66</v>
      </c>
      <c r="O88" s="27">
        <f>IF(N86&lt;B14,N86,P86)</f>
        <v>56.9556806533624</v>
      </c>
      <c r="P88" s="28"/>
    </row>
    <row r="89" spans="1:16" ht="18" thickBot="1" x14ac:dyDescent="0.35">
      <c r="A89" s="65" t="s">
        <v>14</v>
      </c>
      <c r="B89" s="87">
        <f>B10*1000/240</f>
        <v>27.083333333333332</v>
      </c>
      <c r="C89" s="87">
        <f>B86/B89</f>
        <v>0.97159699554630075</v>
      </c>
      <c r="D89" s="110" t="str">
        <f>IF(B86&lt;B89,"OK","NG")</f>
        <v>OK</v>
      </c>
      <c r="I89" s="29" t="s">
        <v>68</v>
      </c>
      <c r="J89" s="30">
        <f>J88*J87/(B11-J86)/10^6</f>
        <v>14.672816463537155</v>
      </c>
      <c r="K89" s="30" t="s">
        <v>7</v>
      </c>
      <c r="L89" s="31"/>
      <c r="M89" s="29"/>
      <c r="N89" s="30" t="s">
        <v>65</v>
      </c>
      <c r="O89" s="30">
        <f>IF(N86&lt;B14,N87,P87)</f>
        <v>292753447.92259938</v>
      </c>
      <c r="P89" s="31"/>
    </row>
    <row r="90" spans="1:16" ht="17.399999999999999" x14ac:dyDescent="0.3">
      <c r="A90" s="65" t="s">
        <v>34</v>
      </c>
      <c r="B90" s="87">
        <f>B10*1000/480</f>
        <v>13.541666666666666</v>
      </c>
      <c r="C90" s="87">
        <f>B86/B90</f>
        <v>1.9431939910926015</v>
      </c>
      <c r="D90" s="111" t="str">
        <f>IF(B86&lt;B90,"OK","NG")</f>
        <v>NG</v>
      </c>
      <c r="I90" s="49" t="s">
        <v>69</v>
      </c>
      <c r="J90" s="61">
        <f>E16/1000*B24*B$10^2/8</f>
        <v>11.009425781250002</v>
      </c>
      <c r="K90" s="24" t="s">
        <v>7</v>
      </c>
      <c r="L90" s="25"/>
    </row>
    <row r="91" spans="1:16" ht="17.399999999999999" x14ac:dyDescent="0.3">
      <c r="A91" s="65" t="s">
        <v>35</v>
      </c>
      <c r="B91" s="87">
        <f>B10*1000/360</f>
        <v>18.055555555555557</v>
      </c>
      <c r="C91" s="87">
        <f>B87/B91</f>
        <v>0</v>
      </c>
      <c r="D91" s="111" t="str">
        <f>IF(B87&lt;B91,"OK","NG")</f>
        <v>OK</v>
      </c>
      <c r="I91" s="50" t="s">
        <v>70</v>
      </c>
      <c r="J91" s="27">
        <f>E16/1000*B20*B10^2/8</f>
        <v>7.3937499999999998</v>
      </c>
      <c r="K91" s="27"/>
      <c r="L91" s="28"/>
    </row>
    <row r="92" spans="1:16" ht="18" thickBot="1" x14ac:dyDescent="0.35">
      <c r="A92" s="65" t="s">
        <v>111</v>
      </c>
      <c r="B92" s="87">
        <f>18/N123^0.5</f>
        <v>8.3926084747678882</v>
      </c>
      <c r="C92" s="87">
        <f>B75/B92</f>
        <v>0.59576233241814414</v>
      </c>
      <c r="D92" s="110" t="str">
        <f>IF(C92&lt;1,"OK","NG")</f>
        <v>OK</v>
      </c>
      <c r="I92" s="51" t="s">
        <v>71</v>
      </c>
      <c r="J92" s="30">
        <f>E16/1000*B18*B10^2/8</f>
        <v>0</v>
      </c>
      <c r="K92" s="30"/>
      <c r="L92" s="31"/>
    </row>
    <row r="102" spans="13:17" ht="15" thickBot="1" x14ac:dyDescent="0.35"/>
    <row r="103" spans="13:17" ht="15.6" thickBot="1" x14ac:dyDescent="0.35">
      <c r="M103" s="136" t="str">
        <f>"CASE2: D+SD+"&amp;B$29&amp;"*Live    (without Creep)"</f>
        <v>CASE2: D+SD+0.25*Live    (without Creep)</v>
      </c>
      <c r="N103" s="137"/>
      <c r="O103" s="138"/>
    </row>
    <row r="104" spans="13:17" ht="15" x14ac:dyDescent="0.3">
      <c r="M104" s="56" t="str">
        <f>"Ma-(D+SD+"&amp;B$29&amp;"L)="</f>
        <v>Ma-(D+SD+0.25L)=</v>
      </c>
      <c r="N104" s="27">
        <f>J90+J91+B29*J92</f>
        <v>18.403175781250003</v>
      </c>
      <c r="O104" s="28" t="s">
        <v>7</v>
      </c>
      <c r="P104" s="32"/>
    </row>
    <row r="105" spans="13:17" ht="22.8" x14ac:dyDescent="0.4">
      <c r="M105" s="33" t="s">
        <v>72</v>
      </c>
      <c r="N105" s="27">
        <f>MAX(0,1-(J89/N104)^2)</f>
        <v>0.36431579352908261</v>
      </c>
      <c r="O105" s="28"/>
    </row>
    <row r="106" spans="13:17" ht="22.8" x14ac:dyDescent="0.4">
      <c r="M106" s="33" t="s">
        <v>74</v>
      </c>
      <c r="N106" s="27">
        <f>(N104*10^6/J80/J87)</f>
        <v>7.345035471344962E-7</v>
      </c>
      <c r="O106" s="28"/>
    </row>
    <row r="107" spans="13:17" ht="22.8" x14ac:dyDescent="0.4">
      <c r="M107" s="33" t="s">
        <v>75</v>
      </c>
      <c r="N107" s="27">
        <f>N104*10^6/N80/O89</f>
        <v>2.1399955999533407E-6</v>
      </c>
      <c r="O107" s="28"/>
    </row>
    <row r="108" spans="13:17" ht="22.8" x14ac:dyDescent="0.4">
      <c r="M108" s="33" t="s">
        <v>76</v>
      </c>
      <c r="N108" s="27">
        <f>IF(N104&lt;J$89,(N104*10^6/J$80/J$15),N105*N107+(1-N105)*N106)</f>
        <v>1.2465464996560129E-6</v>
      </c>
      <c r="O108" s="28"/>
    </row>
    <row r="109" spans="13:17" ht="15.6" thickBot="1" x14ac:dyDescent="0.35">
      <c r="M109" s="34" t="str">
        <f>"delta (D+SD+L)="</f>
        <v>delta (D+SD+L)=</v>
      </c>
      <c r="N109" s="30">
        <f>5/48*N108*(B10*1000)^2</f>
        <v>5.4861030844235987</v>
      </c>
      <c r="O109" s="31" t="s">
        <v>3</v>
      </c>
    </row>
    <row r="111" spans="13:17" ht="15" thickBot="1" x14ac:dyDescent="0.35"/>
    <row r="112" spans="13:17" ht="22.8" x14ac:dyDescent="0.4">
      <c r="M112" s="47">
        <v>0.05</v>
      </c>
      <c r="N112" s="24" t="s">
        <v>101</v>
      </c>
      <c r="O112" s="53" t="s">
        <v>76</v>
      </c>
      <c r="P112" s="24"/>
      <c r="Q112" s="25"/>
    </row>
    <row r="113" spans="8:17" ht="22.8" x14ac:dyDescent="0.4">
      <c r="M113" s="43">
        <f>0+M$40*$B$10*1000</f>
        <v>325</v>
      </c>
      <c r="N113" s="27">
        <f t="shared" ref="N113:N122" si="34">N$104*4*((M113/$B$10/1000)-(M113/$B$10/1000)^2)</f>
        <v>3.4966033984375007</v>
      </c>
      <c r="O113" s="27">
        <f>IF(N113&lt;J$89,(N113*10^6/J$80/J$87),(1-(J$89/N113)^2)*(N113*10^6/N$80/O$89)+(1-(1-(J$89/N113)^2))*(N113*10^6/J$80/J$87))</f>
        <v>1.3955567395555424E-7</v>
      </c>
      <c r="P113" s="27">
        <f>O113*M113/2</f>
        <v>2.2677797017777565E-5</v>
      </c>
      <c r="Q113" s="28">
        <f>M122-M$113*2/3</f>
        <v>3033.3333333333335</v>
      </c>
    </row>
    <row r="114" spans="8:17" ht="22.8" x14ac:dyDescent="0.4">
      <c r="M114" s="43">
        <f t="shared" ref="M114:M122" si="35">M113+M$40*$B$10*1000</f>
        <v>650</v>
      </c>
      <c r="N114" s="27">
        <f t="shared" si="34"/>
        <v>6.6251432812500006</v>
      </c>
      <c r="O114" s="27">
        <f t="shared" ref="O114:O122" si="36">IF(N114&lt;J$89,(N114*10^6/J$80/J$87),(1-(J$89/N114)^2)*(N114*10^6/N$80/O$89)+(1-(1-(J$89/N114)^2))*(N114*10^6/J$80/J$87))</f>
        <v>2.644212769684186E-7</v>
      </c>
      <c r="P114" s="27">
        <f>O113*(M114-M113)+(O114-O113)*(M114-M113)/2</f>
        <v>6.564625452514559E-5</v>
      </c>
      <c r="Q114" s="28">
        <f>(O113*(M114-M113)*(M$122-(M113+M114)/2)+(O114-O113)*(M114-M113)/2*(M$122-(2*M114+M113)/3))/(O113*(M114-M113)+(O114-O113)*(M114-M113)/2)</f>
        <v>2745.757575757576</v>
      </c>
    </row>
    <row r="115" spans="8:17" ht="22.8" x14ac:dyDescent="0.4">
      <c r="M115" s="43">
        <f t="shared" si="35"/>
        <v>975</v>
      </c>
      <c r="N115" s="27">
        <f t="shared" si="34"/>
        <v>9.3856196484375012</v>
      </c>
      <c r="O115" s="27">
        <f t="shared" si="36"/>
        <v>3.7459680903859304E-7</v>
      </c>
      <c r="P115" s="27">
        <f>O114*(M115-M114)+(O115-O114)*(M115-M114)/2</f>
        <v>1.0384043897613938E-4</v>
      </c>
      <c r="Q115" s="28">
        <f t="shared" ref="Q115:Q122" si="37">(O114*(M115-M114)*(M$122-(M114+M115)/2)+(O115-O114)*(M115-M114)/2*(M$122-(2*M115+M114)/3))/(O114*(M115-M114)+(O115-O114)*(M115-M114)/2)</f>
        <v>2428.1609195402298</v>
      </c>
    </row>
    <row r="116" spans="8:17" ht="22.8" x14ac:dyDescent="0.4">
      <c r="M116" s="43">
        <f t="shared" si="35"/>
        <v>1300</v>
      </c>
      <c r="N116" s="27">
        <f t="shared" si="34"/>
        <v>11.778032500000002</v>
      </c>
      <c r="O116" s="27">
        <f t="shared" si="36"/>
        <v>4.7008227016607745E-7</v>
      </c>
      <c r="P116" s="27">
        <f>O115*(M116-M115)+(O116-O115)*(M116-M115)/2</f>
        <v>1.3726035037075896E-4</v>
      </c>
      <c r="Q116" s="28">
        <f t="shared" si="37"/>
        <v>2106.376811594203</v>
      </c>
    </row>
    <row r="117" spans="8:17" ht="22.8" x14ac:dyDescent="0.4">
      <c r="M117" s="43">
        <f t="shared" si="35"/>
        <v>1625</v>
      </c>
      <c r="N117" s="27">
        <f t="shared" si="34"/>
        <v>13.802381835937503</v>
      </c>
      <c r="O117" s="27">
        <f t="shared" si="36"/>
        <v>5.5087766035087202E-7</v>
      </c>
      <c r="P117" s="27">
        <f>O116*(M117-M116)+(O117-O116)*(M117-M116)/2</f>
        <v>1.6590598870900428E-4</v>
      </c>
      <c r="Q117" s="28">
        <f t="shared" si="37"/>
        <v>1783.213429256595</v>
      </c>
    </row>
    <row r="118" spans="8:17" ht="22.8" x14ac:dyDescent="0.4">
      <c r="H118">
        <f>0.017*100*270</f>
        <v>459.00000000000006</v>
      </c>
      <c r="M118" s="43">
        <f t="shared" si="35"/>
        <v>1950</v>
      </c>
      <c r="N118" s="27">
        <f t="shared" si="34"/>
        <v>15.458667656250002</v>
      </c>
      <c r="O118" s="27">
        <f t="shared" si="36"/>
        <v>7.3396642265446323E-7</v>
      </c>
      <c r="P118" s="27">
        <f t="shared" ref="P118:P122" si="38">O117*(M118-M117)+(O118-O117)*(M118-M117)/2</f>
        <v>2.0878716348836699E-4</v>
      </c>
      <c r="Q118" s="28">
        <f t="shared" si="37"/>
        <v>1454.7813140603691</v>
      </c>
    </row>
    <row r="119" spans="8:17" ht="22.8" x14ac:dyDescent="0.4">
      <c r="M119" s="43">
        <f t="shared" si="35"/>
        <v>2275</v>
      </c>
      <c r="N119" s="27">
        <f t="shared" si="34"/>
        <v>16.746889960937501</v>
      </c>
      <c r="O119" s="27">
        <f t="shared" si="36"/>
        <v>9.6558379782860797E-7</v>
      </c>
      <c r="P119" s="27">
        <f t="shared" si="38"/>
        <v>2.761769108284991E-4</v>
      </c>
      <c r="Q119" s="28">
        <f t="shared" si="37"/>
        <v>1130.1180815347132</v>
      </c>
    </row>
    <row r="120" spans="8:17" ht="22.8" x14ac:dyDescent="0.4">
      <c r="M120" s="43">
        <f t="shared" si="35"/>
        <v>2600</v>
      </c>
      <c r="N120" s="27">
        <f t="shared" si="34"/>
        <v>17.667048750000003</v>
      </c>
      <c r="O120" s="27">
        <f t="shared" si="36"/>
        <v>1.1237196298121567E-6</v>
      </c>
      <c r="P120" s="27">
        <f t="shared" si="38"/>
        <v>3.3951180699162426E-4</v>
      </c>
      <c r="Q120" s="28">
        <f t="shared" si="37"/>
        <v>808.40021689248795</v>
      </c>
    </row>
    <row r="121" spans="8:17" ht="22.8" x14ac:dyDescent="0.4">
      <c r="M121" s="43">
        <f t="shared" si="35"/>
        <v>2925</v>
      </c>
      <c r="N121" s="27">
        <f t="shared" si="34"/>
        <v>18.219144023437501</v>
      </c>
      <c r="O121" s="27">
        <f t="shared" si="36"/>
        <v>1.2161218052696369E-6</v>
      </c>
      <c r="P121" s="27">
        <f t="shared" si="38"/>
        <v>3.8022423320079144E-4</v>
      </c>
      <c r="Q121" s="28">
        <f t="shared" si="37"/>
        <v>485.36091580299541</v>
      </c>
    </row>
    <row r="122" spans="8:17" ht="22.8" x14ac:dyDescent="0.4">
      <c r="M122" s="43">
        <f t="shared" si="35"/>
        <v>3250</v>
      </c>
      <c r="N122" s="27">
        <f t="shared" si="34"/>
        <v>18.403175781250003</v>
      </c>
      <c r="O122" s="27">
        <f t="shared" si="36"/>
        <v>1.2465464996560129E-6</v>
      </c>
      <c r="P122" s="27">
        <f t="shared" si="38"/>
        <v>4.0018359955041813E-4</v>
      </c>
      <c r="Q122" s="28">
        <f t="shared" si="37"/>
        <v>161.83080542110935</v>
      </c>
    </row>
    <row r="123" spans="8:17" ht="15.6" thickBot="1" x14ac:dyDescent="0.35">
      <c r="M123" s="34" t="str">
        <f>"delta (D+SD+L)="</f>
        <v>delta (D+SD+L)=</v>
      </c>
      <c r="N123" s="30">
        <f>SUM(P113:P122)*M122-P113*Q113-P114*Q114-P115*Q115-P116*Q116-P117*Q117-P118*Q118-P119*Q119-P120*Q120-P121*Q121-P122*Q122</f>
        <v>4.5999285271988617</v>
      </c>
      <c r="O123" s="30"/>
      <c r="P123" s="30"/>
      <c r="Q123" s="31"/>
    </row>
  </sheetData>
  <dataConsolidate/>
  <mergeCells count="40">
    <mergeCell ref="E30:E31"/>
    <mergeCell ref="F30:F31"/>
    <mergeCell ref="G30:G31"/>
    <mergeCell ref="E32:E33"/>
    <mergeCell ref="F32:F33"/>
    <mergeCell ref="G32:G33"/>
    <mergeCell ref="M103:O103"/>
    <mergeCell ref="L57:O57"/>
    <mergeCell ref="P57:S57"/>
    <mergeCell ref="I79:L79"/>
    <mergeCell ref="M79:P79"/>
    <mergeCell ref="AC7:AF7"/>
    <mergeCell ref="I7:L7"/>
    <mergeCell ref="M31:O31"/>
    <mergeCell ref="I31:K31"/>
    <mergeCell ref="A3:C3"/>
    <mergeCell ref="W31:Y31"/>
    <mergeCell ref="Q7:T7"/>
    <mergeCell ref="M7:P7"/>
    <mergeCell ref="U7:X7"/>
    <mergeCell ref="Y7:AB7"/>
    <mergeCell ref="E22:E23"/>
    <mergeCell ref="F22:F23"/>
    <mergeCell ref="G22:G23"/>
    <mergeCell ref="E24:E25"/>
    <mergeCell ref="F24:F25"/>
    <mergeCell ref="G24:G25"/>
    <mergeCell ref="E26:E27"/>
    <mergeCell ref="F26:F27"/>
    <mergeCell ref="G26:G27"/>
    <mergeCell ref="E28:E29"/>
    <mergeCell ref="F28:F29"/>
    <mergeCell ref="G28:G29"/>
    <mergeCell ref="E6:H6"/>
    <mergeCell ref="A1:C1"/>
    <mergeCell ref="A2:C2"/>
    <mergeCell ref="E1:H1"/>
    <mergeCell ref="E2:H2"/>
    <mergeCell ref="E5:H5"/>
    <mergeCell ref="E3:H4"/>
  </mergeCells>
  <dataValidations count="5">
    <dataValidation type="list" allowBlank="1" showInputMessage="1" showErrorMessage="1" sqref="B32:C32" xr:uid="{00000000-0002-0000-0000-000000000000}">
      <formula1>"f8, f10, f12, f14, f16, f18, f20"</formula1>
    </dataValidation>
    <dataValidation type="list" allowBlank="1" showInputMessage="1" showErrorMessage="1" sqref="B17" xr:uid="{00000000-0002-0000-0000-000001000000}">
      <formula1>"S, D"</formula1>
    </dataValidation>
    <dataValidation type="list" allowBlank="1" showInputMessage="1" showErrorMessage="1" sqref="B33:C33" xr:uid="{00000000-0002-0000-0000-000002000000}">
      <formula1>"0, 1, 2, 3, 4, 5, 6, 7, 8"</formula1>
    </dataValidation>
    <dataValidation type="list" allowBlank="1" showInputMessage="1" showErrorMessage="1" sqref="B36" xr:uid="{00000000-0002-0000-0000-000003000000}">
      <formula1>"f4.5, f5, f6, f8, f10"</formula1>
    </dataValidation>
    <dataValidation type="list" allowBlank="1" showInputMessage="1" showErrorMessage="1" sqref="B40" xr:uid="{00000000-0002-0000-0000-000004000000}">
      <formula1>"f6, f8, f10, f12, f14, f16"</formula1>
    </dataValidation>
  </dataValidations>
  <hyperlinks>
    <hyperlink ref="A3" r:id="rId1" xr:uid="{00000000-0004-0000-0000-000000000000}"/>
    <hyperlink ref="A1" r:id="rId2" xr:uid="{02A6BC0E-4005-43B9-99F5-04E0A84CF4E2}"/>
    <hyperlink ref="A2" r:id="rId3" xr:uid="{005C998D-BBAA-4D2E-9110-E91A1F9142B2}"/>
    <hyperlink ref="A2:C2" r:id="rId4" display="https://telegram.me/hoseinzadehasl" xr:uid="{22D40D0B-9A1A-4EB9-B939-ACDE06D2C5EE}"/>
    <hyperlink ref="A3:C3" r:id="rId5" display="https://www.instagram.com/masoud_hoseinzadeh_asl" xr:uid="{040DE0F9-B04D-4F7F-B93E-B375EC54AB74}"/>
  </hyperlinks>
  <pageMargins left="0.7" right="0.7" top="0.75" bottom="0.75" header="0.3" footer="0.3"/>
  <pageSetup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AF8D7-8220-4F24-9E44-73DD99024754}">
  <dimension ref="A1"/>
  <sheetViews>
    <sheetView workbookViewId="0">
      <selection activeCell="A2" sqref="A2"/>
    </sheetView>
  </sheetViews>
  <sheetFormatPr defaultRowHeight="14.4" x14ac:dyDescent="0.3"/>
  <sheetData>
    <row r="1" spans="1:1" x14ac:dyDescent="0.3">
      <c r="A1">
        <f>(10.51*0.5^2)/8</f>
        <v>0.32843749999999999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8"/>
  <sheetViews>
    <sheetView topLeftCell="A13" workbookViewId="0">
      <selection activeCell="C18" sqref="C18"/>
    </sheetView>
  </sheetViews>
  <sheetFormatPr defaultRowHeight="14.4" x14ac:dyDescent="0.3"/>
  <cols>
    <col min="4" max="4" width="12" bestFit="1" customWidth="1"/>
    <col min="9" max="9" width="12" bestFit="1" customWidth="1"/>
    <col min="13" max="13" width="12" bestFit="1" customWidth="1"/>
  </cols>
  <sheetData>
    <row r="18" spans="3:3" x14ac:dyDescent="0.3">
      <c r="C18">
        <f>15/4*8/1.5</f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Masoud</dc:creator>
  <cp:lastModifiedBy>Alipc</cp:lastModifiedBy>
  <dcterms:created xsi:type="dcterms:W3CDTF">2014-07-03T02:46:34Z</dcterms:created>
  <dcterms:modified xsi:type="dcterms:W3CDTF">2022-11-19T15:03:46Z</dcterms:modified>
</cp:coreProperties>
</file>